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ZARAGOZA\"/>
    </mc:Choice>
  </mc:AlternateContent>
  <workbookProtection workbookAlgorithmName="SHA-512" workbookHashValue="FcHXpjkbQTVLTCMKpbaYyyxA6ojyH/pFETC7ivp5ZS/UOC0FwMpNLUbiyL3Mw8M8I3S4fJpZ448p8EEsap6NeQ==" workbookSaltValue="XTSCyYbiNbg/3WVrtNCiq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EV19" i="19"/>
  <c r="EW19" i="19"/>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L16" i="2" s="1"/>
  <c r="K15" i="2"/>
  <c r="K12" i="2"/>
  <c r="K11" i="2"/>
  <c r="K10" i="2"/>
  <c r="L10" i="2" s="1"/>
  <c r="K9" i="2"/>
  <c r="L9" i="2" s="1"/>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8" i="2" s="1"/>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D19" i="19" s="1"/>
  <c r="AC13" i="19"/>
  <c r="AB13" i="19"/>
  <c r="AA13" i="19"/>
  <c r="Z13" i="19"/>
  <c r="Y13" i="19"/>
  <c r="Y19"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AH13" i="8"/>
  <c r="R13" i="12" s="1"/>
  <c r="AG13" i="8"/>
  <c r="Q13" i="12" s="1"/>
  <c r="AF13" i="8"/>
  <c r="AE13" i="8"/>
  <c r="AD13" i="8"/>
  <c r="AC13" i="8"/>
  <c r="AB13" i="8"/>
  <c r="AA13" i="8"/>
  <c r="Z13" i="8"/>
  <c r="Y13" i="8"/>
  <c r="X13" i="8"/>
  <c r="W13" i="8"/>
  <c r="V13" i="8"/>
  <c r="U13" i="8"/>
  <c r="T13" i="8"/>
  <c r="T19" i="8" s="1"/>
  <c r="S13" i="8"/>
  <c r="R13" i="8"/>
  <c r="Q13" i="8"/>
  <c r="P13" i="8"/>
  <c r="O13" i="8"/>
  <c r="N13" i="8"/>
  <c r="M13" i="8"/>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D10" i="2" s="1"/>
  <c r="C11" i="2"/>
  <c r="D11" i="2" s="1"/>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C12" i="8"/>
  <c r="BC15" i="8"/>
  <c r="BF15" i="8" s="1"/>
  <c r="BC16" i="8"/>
  <c r="AY17" i="8"/>
  <c r="AZ17" i="8"/>
  <c r="BA17" i="8"/>
  <c r="BB17" i="8"/>
  <c r="BC17" i="8"/>
  <c r="BF17" i="8" s="1"/>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G15" i="3" s="1"/>
  <c r="H15" i="3"/>
  <c r="A16" i="3"/>
  <c r="C16" i="3"/>
  <c r="D16" i="3"/>
  <c r="F16" i="3"/>
  <c r="G16" i="3" s="1"/>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Z13" i="19"/>
  <c r="BB13" i="19"/>
  <c r="BA18" i="19"/>
  <c r="BD18" i="19" s="1"/>
  <c r="AY13" i="19"/>
  <c r="BC13" i="19"/>
  <c r="AY18" i="19"/>
  <c r="BC18" i="19"/>
  <c r="BA13" i="19"/>
  <c r="BB18" i="19"/>
  <c r="BE18" i="19" s="1"/>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6" i="13"/>
  <c r="BD12" i="13"/>
  <c r="P19" i="19"/>
  <c r="BE11" i="13"/>
  <c r="ER19" i="8"/>
  <c r="EL19" i="8"/>
  <c r="EN19" i="8"/>
  <c r="N11" i="11"/>
  <c r="ES19" i="8"/>
  <c r="G18" i="12"/>
  <c r="C18" i="7"/>
  <c r="BH19" i="13"/>
  <c r="R8" i="9"/>
  <c r="X12" i="21" s="1"/>
  <c r="AK19" i="8"/>
  <c r="EP19" i="8"/>
  <c r="AJ13" i="16"/>
  <c r="AP16" i="20"/>
  <c r="BF11" i="11"/>
  <c r="BH9" i="16"/>
  <c r="BH11" i="16"/>
  <c r="V15" i="11"/>
  <c r="BL9" i="11"/>
  <c r="BJ17" i="11"/>
  <c r="BH17" i="16"/>
  <c r="BH15" i="11"/>
  <c r="BG10" i="11"/>
  <c r="BH15" i="16"/>
  <c r="BM16" i="11"/>
  <c r="Q17" i="20"/>
  <c r="Q18" i="20" s="1"/>
  <c r="P17" i="17"/>
  <c r="V11" i="16"/>
  <c r="BL17" i="11"/>
  <c r="BF17" i="11"/>
  <c r="BK12" i="11"/>
  <c r="BF16" i="11"/>
  <c r="BF10" i="11"/>
  <c r="S17" i="16"/>
  <c r="BK9" i="11"/>
  <c r="BL12" i="11"/>
  <c r="S13" i="16"/>
  <c r="P13" i="16"/>
  <c r="H13" i="21"/>
  <c r="AN13" i="20"/>
  <c r="F15" i="17"/>
  <c r="AQ15" i="17" s="1"/>
  <c r="AN12" i="11"/>
  <c r="H13" i="12"/>
  <c r="F13" i="7"/>
  <c r="BK15" i="11"/>
  <c r="BK11" i="11"/>
  <c r="V11" i="11"/>
  <c r="AP10" i="21"/>
  <c r="BI10" i="11"/>
  <c r="BM12" i="11"/>
  <c r="Q10" i="21"/>
  <c r="BH9" i="11"/>
  <c r="V9" i="11"/>
  <c r="BI15" i="11"/>
  <c r="BJ11" i="11"/>
  <c r="BJ15" i="11"/>
  <c r="R10" i="21"/>
  <c r="R13" i="21" s="1"/>
  <c r="BJ12" i="11"/>
  <c r="BI17" i="11"/>
  <c r="AP15" i="20"/>
  <c r="BG9" i="11"/>
  <c r="BG15" i="11"/>
  <c r="BL11" i="11"/>
  <c r="R17" i="20"/>
  <c r="R18" i="20" s="1"/>
  <c r="BH17" i="11"/>
  <c r="BK17" i="11"/>
  <c r="BM15" i="11"/>
  <c r="T17" i="16"/>
  <c r="AP17" i="20"/>
  <c r="T15" i="16"/>
  <c r="BU15" i="17"/>
  <c r="BU11" i="17"/>
  <c r="BW9" i="20"/>
  <c r="BV17" i="16"/>
  <c r="BW17" i="20"/>
  <c r="BU10" i="17"/>
  <c r="BV16" i="16"/>
  <c r="BV12" i="16"/>
  <c r="BW16" i="20"/>
  <c r="BW12" i="20"/>
  <c r="BV15" i="16"/>
  <c r="BV11" i="16"/>
  <c r="BW15" i="20"/>
  <c r="BW11" i="20"/>
  <c r="BU9" i="17"/>
  <c r="U10" i="17"/>
  <c r="BV10" i="16"/>
  <c r="BW10" i="20"/>
  <c r="BU17" i="17"/>
  <c r="V12" i="16"/>
  <c r="S11" i="17"/>
  <c r="BU16" i="17"/>
  <c r="BU12" i="17"/>
  <c r="BV9" i="16"/>
  <c r="T13" i="16"/>
  <c r="AZ16" i="11"/>
  <c r="AA15" i="16"/>
  <c r="AZ12" i="11"/>
  <c r="AZ11" i="11"/>
  <c r="BG12" i="11"/>
  <c r="S15" i="16"/>
  <c r="Q17" i="17"/>
  <c r="P15" i="17"/>
  <c r="BH10" i="11"/>
  <c r="BF12" i="11"/>
  <c r="BI9" i="11"/>
  <c r="BL15" i="11"/>
  <c r="AQ10" i="21"/>
  <c r="BL10" i="11"/>
  <c r="S10" i="17"/>
  <c r="BJ10" i="11"/>
  <c r="BH10" i="16"/>
  <c r="BK16" i="11"/>
  <c r="Q15" i="17"/>
  <c r="BH11" i="11"/>
  <c r="BM17" i="11"/>
  <c r="BG16" i="11"/>
  <c r="BF15" i="11"/>
  <c r="T11" i="11"/>
  <c r="BH16" i="11"/>
  <c r="BM9" i="11"/>
  <c r="AQ12" i="21"/>
  <c r="BH12" i="16"/>
  <c r="BJ16" i="11"/>
  <c r="BK10" i="11"/>
  <c r="BL16" i="11"/>
  <c r="T13" i="20"/>
  <c r="BG12" i="8"/>
  <c r="BD9" i="8"/>
  <c r="X12" i="17"/>
  <c r="AA10" i="16"/>
  <c r="S15" i="17"/>
  <c r="L12" i="2"/>
  <c r="U9" i="17"/>
  <c r="U19" i="17" s="1"/>
  <c r="V10" i="16"/>
  <c r="V9" i="16"/>
  <c r="BF15" i="13"/>
  <c r="BG15" i="13"/>
  <c r="BA18" i="13"/>
  <c r="BE15" i="13"/>
  <c r="BF16" i="13"/>
  <c r="W20" i="20"/>
  <c r="AA20" i="20"/>
  <c r="AV20" i="20"/>
  <c r="AP20" i="20"/>
  <c r="M20" i="20"/>
  <c r="BD17" i="8" l="1"/>
  <c r="BG15" i="8"/>
  <c r="BG10" i="8"/>
  <c r="K12" i="7"/>
  <c r="E12" i="6"/>
  <c r="AO12" i="11"/>
  <c r="AO9" i="11"/>
  <c r="AM11" i="11"/>
  <c r="AO17" i="11"/>
  <c r="F15" i="16"/>
  <c r="BL15" i="16" s="1"/>
  <c r="BE12" i="21"/>
  <c r="BE9" i="8"/>
  <c r="I9" i="7" s="1"/>
  <c r="F11" i="11"/>
  <c r="AQ11" i="11" s="1"/>
  <c r="BB13" i="13"/>
  <c r="S12" i="14"/>
  <c r="V12" i="14" s="1"/>
  <c r="S16" i="14"/>
  <c r="V16" i="14" s="1"/>
  <c r="R11" i="14"/>
  <c r="T12" i="11"/>
  <c r="S11" i="14"/>
  <c r="V11" i="14" s="1"/>
  <c r="T17" i="11"/>
  <c r="X16" i="17"/>
  <c r="X10" i="17"/>
  <c r="X15" i="17"/>
  <c r="AA9" i="16"/>
  <c r="AA11" i="16"/>
  <c r="X13" i="20"/>
  <c r="T17" i="20"/>
  <c r="X17" i="20"/>
  <c r="V12" i="21"/>
  <c r="AA12" i="21"/>
  <c r="X16" i="20"/>
  <c r="V17" i="16"/>
  <c r="L11" i="2"/>
  <c r="L15" i="2"/>
  <c r="L17" i="2"/>
  <c r="X9" i="16"/>
  <c r="X19" i="16" s="1"/>
  <c r="V15" i="20"/>
  <c r="V18" i="20" s="1"/>
  <c r="X15" i="16"/>
  <c r="X18" i="16" s="1"/>
  <c r="T9" i="11"/>
  <c r="R17" i="14"/>
  <c r="S10" i="14"/>
  <c r="V10" i="14" s="1"/>
  <c r="S17" i="14"/>
  <c r="V17" i="14" s="1"/>
  <c r="R10" i="14"/>
  <c r="R12" i="14"/>
  <c r="R16" i="14"/>
  <c r="AM12" i="11"/>
  <c r="S9" i="14"/>
  <c r="V9" i="14" s="1"/>
  <c r="S15" i="14"/>
  <c r="V15" i="14" s="1"/>
  <c r="T15" i="11"/>
  <c r="T16" i="11"/>
  <c r="AA16" i="16"/>
  <c r="AA17" i="16"/>
  <c r="X17" i="17"/>
  <c r="X9" i="17"/>
  <c r="X11" i="17"/>
  <c r="V15" i="16"/>
  <c r="S9" i="17"/>
  <c r="S17" i="17"/>
  <c r="AZ9" i="11"/>
  <c r="AZ15" i="11"/>
  <c r="AZ18" i="11" s="1"/>
  <c r="AZ17" i="11"/>
  <c r="X10" i="21"/>
  <c r="X12" i="16"/>
  <c r="S16" i="17"/>
  <c r="AF13" i="21"/>
  <c r="AF19" i="21" s="1"/>
  <c r="AQ13" i="21"/>
  <c r="AR13" i="20"/>
  <c r="AO18" i="20"/>
  <c r="BE12" i="13"/>
  <c r="ER19" i="13"/>
  <c r="AI19" i="8"/>
  <c r="BA13" i="8"/>
  <c r="AY13" i="8"/>
  <c r="BE11" i="8"/>
  <c r="I11" i="7" s="1"/>
  <c r="BE15" i="8"/>
  <c r="I15" i="7" s="1"/>
  <c r="BD16" i="8"/>
  <c r="F17" i="16"/>
  <c r="BL17" i="16" s="1"/>
  <c r="EQ19" i="8"/>
  <c r="I16" i="3"/>
  <c r="AT18" i="17"/>
  <c r="BE16" i="13"/>
  <c r="D12" i="6"/>
  <c r="E12" i="3"/>
  <c r="AY18" i="8"/>
  <c r="BG9" i="8"/>
  <c r="K9" i="7" s="1"/>
  <c r="AL19" i="8"/>
  <c r="B18" i="3"/>
  <c r="B18" i="2"/>
  <c r="I12" i="3"/>
  <c r="S10" i="21"/>
  <c r="U10" i="21" s="1"/>
  <c r="T10" i="21"/>
  <c r="V10" i="21" s="1"/>
  <c r="F12" i="21"/>
  <c r="AU18" i="21"/>
  <c r="F17" i="2"/>
  <c r="J15" i="2"/>
  <c r="I16" i="10"/>
  <c r="K16" i="10" s="1"/>
  <c r="I17" i="3"/>
  <c r="I15" i="3"/>
  <c r="E15" i="3"/>
  <c r="D9" i="6"/>
  <c r="J9" i="12" s="1"/>
  <c r="D11" i="12"/>
  <c r="C19" i="3"/>
  <c r="AH19" i="8"/>
  <c r="X19" i="8"/>
  <c r="AM19" i="8"/>
  <c r="AO16" i="11"/>
  <c r="R19" i="8"/>
  <c r="S19" i="8"/>
  <c r="AA19" i="8"/>
  <c r="AC19" i="8"/>
  <c r="F11" i="16"/>
  <c r="M13" i="2"/>
  <c r="N13" i="2"/>
  <c r="N18" i="2"/>
  <c r="F17" i="11"/>
  <c r="AQ17" i="11" s="1"/>
  <c r="AC10" i="11"/>
  <c r="N9" i="11"/>
  <c r="Q9" i="11" s="1"/>
  <c r="AN11" i="11"/>
  <c r="AN9" i="11"/>
  <c r="I10" i="3"/>
  <c r="E10" i="3"/>
  <c r="BI16" i="16"/>
  <c r="E16" i="3"/>
  <c r="H9" i="7"/>
  <c r="J12" i="2"/>
  <c r="E15" i="6"/>
  <c r="R19" i="21"/>
  <c r="BF18" i="19"/>
  <c r="BB19" i="19"/>
  <c r="Q18" i="17"/>
  <c r="AM19" i="13"/>
  <c r="AE19" i="13"/>
  <c r="X19" i="13"/>
  <c r="BD11" i="13"/>
  <c r="BE9" i="13"/>
  <c r="BM19" i="13"/>
  <c r="AZ18" i="13"/>
  <c r="BB18" i="13"/>
  <c r="B11" i="6"/>
  <c r="AL9" i="11"/>
  <c r="AC11" i="11"/>
  <c r="BJ13" i="16"/>
  <c r="AR13" i="21"/>
  <c r="CI19" i="8"/>
  <c r="Z19" i="8"/>
  <c r="AB19" i="8"/>
  <c r="B13" i="3"/>
  <c r="B13" i="2"/>
  <c r="D18" i="12"/>
  <c r="B18" i="7"/>
  <c r="O19" i="8"/>
  <c r="AV18" i="21"/>
  <c r="BM18" i="16"/>
  <c r="AR18" i="11"/>
  <c r="Y19" i="8"/>
  <c r="AE19" i="8"/>
  <c r="E9" i="6"/>
  <c r="BD15" i="8"/>
  <c r="H15" i="7" s="1"/>
  <c r="AJ19" i="8"/>
  <c r="G18" i="2"/>
  <c r="AL11" i="11"/>
  <c r="AP13" i="17"/>
  <c r="AW18" i="21"/>
  <c r="BF16" i="8"/>
  <c r="E17" i="3"/>
  <c r="AN17" i="11"/>
  <c r="Q19" i="8"/>
  <c r="BG17" i="8"/>
  <c r="BE12" i="8"/>
  <c r="I12" i="7" s="1"/>
  <c r="BD12" i="8"/>
  <c r="C16" i="6"/>
  <c r="AM16" i="11"/>
  <c r="AO16" i="17"/>
  <c r="F15" i="11"/>
  <c r="AQ15" i="11" s="1"/>
  <c r="W19" i="8"/>
  <c r="Q18" i="12"/>
  <c r="AG19" i="8"/>
  <c r="BM19" i="8"/>
  <c r="P18" i="17"/>
  <c r="P19" i="17" s="1"/>
  <c r="H9" i="2"/>
  <c r="AN16" i="11"/>
  <c r="G11" i="3"/>
  <c r="D13" i="5"/>
  <c r="BF12" i="8"/>
  <c r="BE10" i="8"/>
  <c r="G17" i="3"/>
  <c r="K18" i="11"/>
  <c r="AE13" i="17"/>
  <c r="AV18" i="17"/>
  <c r="Z13" i="17"/>
  <c r="D9" i="12"/>
  <c r="E11" i="12"/>
  <c r="AZ19" i="11"/>
  <c r="AZ13" i="11"/>
  <c r="F11" i="12"/>
  <c r="F9" i="12"/>
  <c r="H18" i="3"/>
  <c r="G12" i="3"/>
  <c r="L12" i="14"/>
  <c r="C10" i="6"/>
  <c r="C11" i="6"/>
  <c r="AO13" i="21"/>
  <c r="BE13" i="21"/>
  <c r="BE19" i="21" s="1"/>
  <c r="AS13" i="21"/>
  <c r="V19" i="19"/>
  <c r="AB19" i="19"/>
  <c r="AB13" i="21"/>
  <c r="AB19" i="21" s="1"/>
  <c r="AE13" i="21"/>
  <c r="AE19" i="21" s="1"/>
  <c r="EP19" i="19"/>
  <c r="ER19" i="19"/>
  <c r="S18" i="16"/>
  <c r="BG9" i="13"/>
  <c r="AB19" i="13"/>
  <c r="BK19" i="13"/>
  <c r="AQ19" i="13"/>
  <c r="W19" i="13"/>
  <c r="Q19" i="13"/>
  <c r="BA13" i="13"/>
  <c r="BE13" i="13" s="1"/>
  <c r="BC18" i="13"/>
  <c r="BF18" i="13" s="1"/>
  <c r="BE17" i="13"/>
  <c r="BG10" i="13"/>
  <c r="BE10" i="13"/>
  <c r="J9" i="7"/>
  <c r="BJ18" i="11"/>
  <c r="H12" i="2"/>
  <c r="F9" i="2"/>
  <c r="AG13" i="11"/>
  <c r="U19" i="8"/>
  <c r="J17" i="10"/>
  <c r="L17" i="10" s="1"/>
  <c r="J16" i="10"/>
  <c r="L16" i="10" s="1"/>
  <c r="J11" i="10"/>
  <c r="L11" i="10" s="1"/>
  <c r="BF11" i="8"/>
  <c r="J11" i="7" s="1"/>
  <c r="BN18" i="16"/>
  <c r="BN19" i="16" s="1"/>
  <c r="H18" i="16"/>
  <c r="J18" i="17"/>
  <c r="E13" i="17"/>
  <c r="AH13" i="16"/>
  <c r="J9" i="2"/>
  <c r="C17" i="6"/>
  <c r="I18" i="2"/>
  <c r="AP12" i="11"/>
  <c r="T18" i="17"/>
  <c r="C12" i="14"/>
  <c r="K12" i="14" s="1"/>
  <c r="E12" i="12"/>
  <c r="D12" i="12"/>
  <c r="G9" i="12"/>
  <c r="J17" i="7"/>
  <c r="H12" i="7"/>
  <c r="AM9" i="11"/>
  <c r="AO12" i="17"/>
  <c r="B12" i="6"/>
  <c r="C12" i="6"/>
  <c r="I12" i="12" s="1"/>
  <c r="AL12" i="11"/>
  <c r="L17" i="14"/>
  <c r="AO9" i="17"/>
  <c r="L19" i="21"/>
  <c r="M19" i="21"/>
  <c r="CJ19" i="19"/>
  <c r="AO13" i="20"/>
  <c r="AP13" i="20"/>
  <c r="N19" i="19"/>
  <c r="R19" i="19"/>
  <c r="T19" i="19"/>
  <c r="Z19" i="19"/>
  <c r="AL19" i="19"/>
  <c r="AR19" i="19"/>
  <c r="AT19" i="19"/>
  <c r="CK19" i="19"/>
  <c r="EL19" i="19"/>
  <c r="I19" i="19"/>
  <c r="AT18" i="20"/>
  <c r="U19" i="19"/>
  <c r="AG19" i="19"/>
  <c r="AO19" i="19"/>
  <c r="AQ19" i="19"/>
  <c r="CN19" i="19"/>
  <c r="W13" i="17"/>
  <c r="X13" i="17" s="1"/>
  <c r="AC19" i="17"/>
  <c r="F16" i="17"/>
  <c r="F17" i="17"/>
  <c r="AQ17" i="17" s="1"/>
  <c r="AZ13" i="13"/>
  <c r="AD19" i="13"/>
  <c r="AO19" i="13"/>
  <c r="AK19" i="13"/>
  <c r="AC19" i="13"/>
  <c r="AA19" i="13"/>
  <c r="U19" i="13"/>
  <c r="S19" i="13"/>
  <c r="AN19" i="13"/>
  <c r="V19" i="13"/>
  <c r="BC13" i="13"/>
  <c r="AL19" i="16"/>
  <c r="H15" i="2"/>
  <c r="E9" i="12"/>
  <c r="F12" i="2"/>
  <c r="AC12" i="11"/>
  <c r="K15" i="12"/>
  <c r="G10" i="3"/>
  <c r="F16" i="11"/>
  <c r="Y12" i="11"/>
  <c r="Y10" i="11"/>
  <c r="AP15" i="11"/>
  <c r="AP11" i="11"/>
  <c r="AP10" i="11"/>
  <c r="AP9" i="11"/>
  <c r="R18" i="11"/>
  <c r="Y11" i="11"/>
  <c r="Y17" i="11"/>
  <c r="AC17" i="11"/>
  <c r="J13" i="11"/>
  <c r="AR13" i="11"/>
  <c r="G18" i="7"/>
  <c r="AT19" i="8"/>
  <c r="AI18" i="11"/>
  <c r="AE13" i="11"/>
  <c r="AH13" i="11"/>
  <c r="F12" i="11"/>
  <c r="AQ12" i="11" s="1"/>
  <c r="F9" i="11"/>
  <c r="BK13" i="11"/>
  <c r="D16" i="6"/>
  <c r="C9" i="6"/>
  <c r="I9" i="12" s="1"/>
  <c r="L9" i="14"/>
  <c r="L16" i="14"/>
  <c r="E17" i="6"/>
  <c r="H19" i="21"/>
  <c r="AG13" i="21"/>
  <c r="BC21" i="21"/>
  <c r="AZ20" i="20"/>
  <c r="S20" i="20"/>
  <c r="E20" i="20"/>
  <c r="U16" i="11"/>
  <c r="O20" i="20"/>
  <c r="AU20" i="20"/>
  <c r="L20" i="20"/>
  <c r="AQ20" i="20"/>
  <c r="AN20" i="20"/>
  <c r="R20" i="20"/>
  <c r="AO20" i="20"/>
  <c r="K20" i="20"/>
  <c r="W20" i="21"/>
  <c r="Z20" i="20"/>
  <c r="J20" i="20"/>
  <c r="G13" i="14"/>
  <c r="AQ20" i="21"/>
  <c r="AK20" i="20"/>
  <c r="U10" i="11"/>
  <c r="H20" i="20"/>
  <c r="AI20" i="20"/>
  <c r="AM20" i="20"/>
  <c r="AC20" i="20"/>
  <c r="AB20" i="20"/>
  <c r="I20" i="20"/>
  <c r="AD20" i="20"/>
  <c r="AX20" i="20"/>
  <c r="G18" i="14"/>
  <c r="U12" i="11"/>
  <c r="AJ20" i="20"/>
  <c r="O10" i="11"/>
  <c r="AL20" i="20"/>
  <c r="AG20" i="20"/>
  <c r="AE20" i="20"/>
  <c r="P20" i="20"/>
  <c r="Y20" i="20"/>
  <c r="Q20" i="20"/>
  <c r="F20" i="20"/>
  <c r="AF20" i="20"/>
  <c r="O16" i="11"/>
  <c r="T20" i="21"/>
  <c r="X20" i="20"/>
  <c r="AH20" i="20"/>
  <c r="J12" i="12" l="1"/>
  <c r="I10" i="12"/>
  <c r="K9" i="12"/>
  <c r="I18" i="3"/>
  <c r="J18" i="2"/>
  <c r="J12" i="7"/>
  <c r="AB21" i="21"/>
  <c r="BK19" i="19"/>
  <c r="BE13" i="19"/>
  <c r="S19" i="19"/>
  <c r="AA19" i="19"/>
  <c r="AI19" i="19"/>
  <c r="CL19" i="19"/>
  <c r="BC19" i="19"/>
  <c r="M19" i="19"/>
  <c r="AC19" i="19"/>
  <c r="AK19" i="19"/>
  <c r="AS19" i="19"/>
  <c r="AP18" i="20"/>
  <c r="AJ19" i="19"/>
  <c r="AP19" i="19"/>
  <c r="Q19" i="19"/>
  <c r="X19" i="19"/>
  <c r="AF19" i="19"/>
  <c r="AN19" i="19"/>
  <c r="AM19" i="19"/>
  <c r="BI19" i="19"/>
  <c r="AY19" i="19"/>
  <c r="AO21" i="20"/>
  <c r="AM13" i="21"/>
  <c r="AM19" i="21" s="1"/>
  <c r="F11" i="17"/>
  <c r="AQ11" i="17" s="1"/>
  <c r="S19" i="16"/>
  <c r="BB19" i="16"/>
  <c r="BC19" i="13"/>
  <c r="Z19" i="13"/>
  <c r="BD13" i="13"/>
  <c r="BF9" i="13"/>
  <c r="AY13" i="13"/>
  <c r="BG13" i="13" s="1"/>
  <c r="BA19" i="13"/>
  <c r="BF19" i="13" s="1"/>
  <c r="AI19" i="13"/>
  <c r="L19" i="13"/>
  <c r="Y19" i="13"/>
  <c r="N19" i="13"/>
  <c r="BD10" i="13"/>
  <c r="Q19" i="17"/>
  <c r="C13" i="5"/>
  <c r="I11" i="12"/>
  <c r="J10" i="2"/>
  <c r="AO17" i="17"/>
  <c r="L15" i="14"/>
  <c r="I19" i="8"/>
  <c r="D19" i="12" s="1"/>
  <c r="H18" i="12"/>
  <c r="H21" i="12" s="1"/>
  <c r="N13" i="17"/>
  <c r="AS19" i="8"/>
  <c r="K13" i="17"/>
  <c r="J13" i="17"/>
  <c r="K18" i="17"/>
  <c r="AF13" i="17"/>
  <c r="AX21" i="17"/>
  <c r="AQ10" i="17"/>
  <c r="J15" i="10"/>
  <c r="L15" i="10" s="1"/>
  <c r="J12" i="10"/>
  <c r="L12" i="10" s="1"/>
  <c r="G12" i="12"/>
  <c r="BE17" i="8"/>
  <c r="I17" i="12" s="1"/>
  <c r="C15" i="14"/>
  <c r="K15" i="14" s="1"/>
  <c r="BD11" i="8"/>
  <c r="H11" i="7" s="1"/>
  <c r="BG16" i="8"/>
  <c r="K16" i="7" s="1"/>
  <c r="B9" i="6"/>
  <c r="H11" i="2"/>
  <c r="AV13" i="16"/>
  <c r="AG13" i="17"/>
  <c r="AJ13" i="17"/>
  <c r="AK18" i="17"/>
  <c r="AK13" i="17"/>
  <c r="AL13" i="17"/>
  <c r="AM13" i="17"/>
  <c r="AV13" i="17"/>
  <c r="AV19" i="17" s="1"/>
  <c r="AT19" i="17"/>
  <c r="G13" i="16"/>
  <c r="EM19" i="8"/>
  <c r="E13" i="21"/>
  <c r="N13" i="21"/>
  <c r="N19" i="21" s="1"/>
  <c r="O13" i="21"/>
  <c r="O19" i="21" s="1"/>
  <c r="AL13" i="21"/>
  <c r="AL21" i="21" s="1"/>
  <c r="AN13" i="21"/>
  <c r="AN19" i="21" s="1"/>
  <c r="AY13" i="21"/>
  <c r="BA21" i="21"/>
  <c r="BL11" i="16"/>
  <c r="M19" i="2"/>
  <c r="C10" i="14"/>
  <c r="K10" i="14" s="1"/>
  <c r="C17" i="14"/>
  <c r="K17" i="14" s="1"/>
  <c r="F12" i="12"/>
  <c r="AI13" i="11"/>
  <c r="AI19" i="11" s="1"/>
  <c r="F18" i="11"/>
  <c r="AU13" i="11"/>
  <c r="AP17" i="11"/>
  <c r="AT13" i="11"/>
  <c r="AV13" i="11"/>
  <c r="AV18" i="11"/>
  <c r="AX21" i="11"/>
  <c r="R13" i="11"/>
  <c r="Z13" i="11"/>
  <c r="AA13" i="11"/>
  <c r="AB18" i="11"/>
  <c r="AD13" i="11"/>
  <c r="AF18" i="11"/>
  <c r="AF13" i="11"/>
  <c r="Q15" i="11"/>
  <c r="I13" i="11"/>
  <c r="I18" i="11"/>
  <c r="J18" i="11"/>
  <c r="N12" i="11"/>
  <c r="P12" i="11" s="1"/>
  <c r="L18" i="11"/>
  <c r="AC15" i="11"/>
  <c r="AS13" i="11"/>
  <c r="AS18" i="11"/>
  <c r="E13" i="11"/>
  <c r="AH18" i="11"/>
  <c r="S13" i="11"/>
  <c r="T13" i="11" s="1"/>
  <c r="C18" i="5"/>
  <c r="B13" i="5"/>
  <c r="BI17" i="16"/>
  <c r="J9" i="10"/>
  <c r="L9" i="10" s="1"/>
  <c r="J10" i="10"/>
  <c r="L10" i="10" s="1"/>
  <c r="AL16" i="11"/>
  <c r="E18" i="2"/>
  <c r="F18" i="2" s="1"/>
  <c r="AL15" i="11"/>
  <c r="D15" i="6"/>
  <c r="J15" i="12" s="1"/>
  <c r="BI15" i="16"/>
  <c r="B15" i="6"/>
  <c r="J15" i="7"/>
  <c r="K15" i="7"/>
  <c r="AM15" i="11"/>
  <c r="E11" i="6"/>
  <c r="F15" i="2"/>
  <c r="D17" i="6"/>
  <c r="J17" i="12" s="1"/>
  <c r="D17" i="2"/>
  <c r="AO11" i="11"/>
  <c r="B17" i="6"/>
  <c r="K17" i="7"/>
  <c r="H17" i="2"/>
  <c r="L11" i="14"/>
  <c r="H17" i="7"/>
  <c r="C18" i="2"/>
  <c r="D18" i="2" s="1"/>
  <c r="AL17" i="11"/>
  <c r="AO15" i="17"/>
  <c r="E16" i="6"/>
  <c r="C15" i="6"/>
  <c r="I15" i="12" s="1"/>
  <c r="AN15" i="11"/>
  <c r="B16" i="6"/>
  <c r="AN10" i="11"/>
  <c r="AL10" i="11"/>
  <c r="D15" i="2"/>
  <c r="AO15" i="11"/>
  <c r="K18" i="2"/>
  <c r="H16" i="7"/>
  <c r="F10" i="2"/>
  <c r="L10" i="14"/>
  <c r="D10" i="6"/>
  <c r="H10" i="2"/>
  <c r="G13" i="2"/>
  <c r="H13" i="2" s="1"/>
  <c r="AP13" i="21"/>
  <c r="AQ10" i="11"/>
  <c r="E13" i="2"/>
  <c r="F13" i="2" s="1"/>
  <c r="B10" i="6"/>
  <c r="K10" i="7"/>
  <c r="E10" i="6"/>
  <c r="K10" i="12" s="1"/>
  <c r="AO10" i="11"/>
  <c r="G13" i="21"/>
  <c r="G20" i="21" s="1"/>
  <c r="I10" i="7"/>
  <c r="AO10" i="17"/>
  <c r="L19" i="8"/>
  <c r="I13" i="2"/>
  <c r="AM13" i="11" s="1"/>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C18" i="6"/>
  <c r="D18" i="3"/>
  <c r="E18" i="3" s="1"/>
  <c r="U12" i="17"/>
  <c r="W13" i="16"/>
  <c r="M19" i="8"/>
  <c r="F19" i="7" s="1"/>
  <c r="F18" i="7"/>
  <c r="AX19" i="21"/>
  <c r="BD21" i="21"/>
  <c r="AT18" i="21"/>
  <c r="AG19" i="21"/>
  <c r="AA18" i="21"/>
  <c r="BD19" i="21"/>
  <c r="AZ21" i="21"/>
  <c r="AC18" i="20"/>
  <c r="AC21" i="20" s="1"/>
  <c r="AX18" i="20"/>
  <c r="J18" i="20"/>
  <c r="J21"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AZ10" i="11"/>
  <c r="AT18" i="11"/>
  <c r="M13" i="11"/>
  <c r="L13" i="11"/>
  <c r="AP16" i="11"/>
  <c r="Z18" i="11"/>
  <c r="AB13" i="11"/>
  <c r="BH18" i="11"/>
  <c r="AQ16" i="11"/>
  <c r="W18" i="11"/>
  <c r="Y16" i="11"/>
  <c r="X18" i="11"/>
  <c r="AC9" i="11"/>
  <c r="H13" i="11"/>
  <c r="E13" i="12" s="1"/>
  <c r="Y13" i="11"/>
  <c r="S18" i="11"/>
  <c r="H18" i="11"/>
  <c r="X13" i="11"/>
  <c r="AA18" i="11"/>
  <c r="M18" i="11"/>
  <c r="C16" i="14"/>
  <c r="K16" i="14" s="1"/>
  <c r="J16" i="7"/>
  <c r="J16" i="12"/>
  <c r="F18" i="3"/>
  <c r="G18" i="3" s="1"/>
  <c r="H13" i="3"/>
  <c r="BF18" i="11"/>
  <c r="BK18" i="11"/>
  <c r="BK19" i="11" s="1"/>
  <c r="P15" i="11"/>
  <c r="K12" i="12"/>
  <c r="AJ18" i="11"/>
  <c r="D18" i="5"/>
  <c r="P17" i="11"/>
  <c r="F16" i="2"/>
  <c r="H16" i="2"/>
  <c r="J16" i="2"/>
  <c r="F13" i="3"/>
  <c r="E9" i="3"/>
  <c r="G9" i="3"/>
  <c r="T18" i="16"/>
  <c r="T19" i="16" s="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M19" i="13"/>
  <c r="BF17" i="13"/>
  <c r="J19" i="13"/>
  <c r="T19" i="13"/>
  <c r="BF11" i="13"/>
  <c r="I19" i="13"/>
  <c r="BF10" i="13"/>
  <c r="BD18" i="13"/>
  <c r="AF19" i="13"/>
  <c r="P19" i="13"/>
  <c r="T16" i="20"/>
  <c r="S18" i="20"/>
  <c r="S19" i="20" s="1"/>
  <c r="AW19" i="21"/>
  <c r="W18" i="20"/>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S13" i="21"/>
  <c r="S19" i="21" s="1"/>
  <c r="AE18" i="11"/>
  <c r="AJ13" i="11"/>
  <c r="F18" i="14"/>
  <c r="AO19" i="16"/>
  <c r="E18" i="14"/>
  <c r="F13" i="14"/>
  <c r="J19" i="8"/>
  <c r="C9" i="14"/>
  <c r="AQ9" i="11"/>
  <c r="BC18" i="8"/>
  <c r="AZ18" i="8"/>
  <c r="BE18" i="13"/>
  <c r="BB19" i="13"/>
  <c r="AQ16" i="17"/>
  <c r="AG18" i="11"/>
  <c r="AG21" i="11" s="1"/>
  <c r="AK18" i="11"/>
  <c r="E13" i="14"/>
  <c r="U13" i="17"/>
  <c r="BV13" i="16"/>
  <c r="AY19" i="8"/>
  <c r="BW21" i="20"/>
  <c r="P9" i="11"/>
  <c r="Q10" i="11"/>
  <c r="D11" i="6"/>
  <c r="J11" i="12" s="1"/>
  <c r="E11" i="3"/>
  <c r="R15" i="14"/>
  <c r="BH16" i="16"/>
  <c r="AM17" i="11"/>
  <c r="BI16" i="11"/>
  <c r="BI18" i="11" s="1"/>
  <c r="BG17" i="11"/>
  <c r="BI11" i="11"/>
  <c r="P19" i="8"/>
  <c r="X19" i="21"/>
  <c r="H18" i="2"/>
  <c r="AO11" i="17"/>
  <c r="T10" i="11"/>
  <c r="AQ18" i="21"/>
  <c r="AM10" i="11"/>
  <c r="T18"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O17" i="11"/>
  <c r="T20" i="20"/>
  <c r="U17" i="11"/>
  <c r="N20" i="20"/>
  <c r="H20" i="17"/>
  <c r="AX20" i="21"/>
  <c r="AO18" i="11" l="1"/>
  <c r="AN21" i="20"/>
  <c r="I17" i="7"/>
  <c r="AH19" i="11"/>
  <c r="AF19" i="11"/>
  <c r="AI21" i="11"/>
  <c r="V17" i="11"/>
  <c r="Q18" i="11"/>
  <c r="AL18" i="11"/>
  <c r="AY21" i="21"/>
  <c r="J19" i="20"/>
  <c r="AQ19" i="20"/>
  <c r="J21" i="17"/>
  <c r="G19" i="16"/>
  <c r="O19" i="16"/>
  <c r="N19" i="2"/>
  <c r="AU21" i="21"/>
  <c r="AA19" i="11"/>
  <c r="I21" i="11"/>
  <c r="X18" i="20"/>
  <c r="AX21" i="20"/>
  <c r="AP19" i="20"/>
  <c r="AZ19" i="13"/>
  <c r="AK19" i="11"/>
  <c r="Q12" i="11"/>
  <c r="AE19" i="11"/>
  <c r="Y18" i="11"/>
  <c r="G19" i="21"/>
  <c r="AS19" i="21"/>
  <c r="G19" i="20"/>
  <c r="AL19" i="21"/>
  <c r="AK21" i="20"/>
  <c r="AO19" i="20"/>
  <c r="K19" i="17"/>
  <c r="AJ21" i="11"/>
  <c r="G21" i="21"/>
  <c r="H19" i="11"/>
  <c r="Z19" i="11"/>
  <c r="G20" i="11"/>
  <c r="R19" i="11"/>
  <c r="AP13" i="11"/>
  <c r="C19" i="2"/>
  <c r="D19" i="2" s="1"/>
  <c r="G21" i="20"/>
  <c r="BG19" i="19"/>
  <c r="AU19" i="21"/>
  <c r="F18" i="20"/>
  <c r="F21" i="20" s="1"/>
  <c r="AQ19" i="21"/>
  <c r="AJ21" i="17"/>
  <c r="BD19" i="16"/>
  <c r="BR20" i="16"/>
  <c r="AU20" i="17"/>
  <c r="BP20" i="16"/>
  <c r="AW20" i="11"/>
  <c r="AV20" i="21"/>
  <c r="BE19" i="13" l="1"/>
  <c r="BD19" i="13"/>
  <c r="E19" i="17"/>
  <c r="BE18" i="8"/>
  <c r="I18" i="7" s="1"/>
  <c r="AG19" i="11"/>
  <c r="AY19" i="21"/>
  <c r="AP19" i="16"/>
  <c r="E18" i="6"/>
  <c r="M19" i="11"/>
  <c r="AN21" i="21"/>
  <c r="B18" i="6"/>
  <c r="AL13" i="11"/>
  <c r="D19" i="14"/>
  <c r="D21" i="12"/>
  <c r="K16" i="12"/>
  <c r="J19" i="11"/>
  <c r="L19" i="11"/>
  <c r="E21" i="12"/>
  <c r="G21" i="11"/>
  <c r="AC13" i="11"/>
  <c r="G19" i="11"/>
  <c r="I19" i="11"/>
  <c r="X19" i="11"/>
  <c r="AB19" i="11"/>
  <c r="D19" i="5"/>
  <c r="B19" i="5"/>
  <c r="BI18" i="16"/>
  <c r="I19" i="2"/>
  <c r="AO13" i="17"/>
  <c r="B13" i="6"/>
  <c r="K19" i="2"/>
  <c r="W19" i="11"/>
  <c r="E19" i="2"/>
  <c r="J13" i="2"/>
  <c r="C13" i="6"/>
  <c r="F19" i="14"/>
  <c r="BG21" i="16"/>
  <c r="AN18" i="11"/>
  <c r="U19" i="16"/>
  <c r="BF21" i="16"/>
  <c r="AC19" i="20"/>
  <c r="AA18" i="16" l="1"/>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L20" i="16"/>
  <c r="AR20" i="21"/>
  <c r="G19" i="3" l="1"/>
  <c r="BM19" i="11"/>
  <c r="BG19" i="11"/>
  <c r="BV21" i="16"/>
  <c r="BV19" i="16"/>
  <c r="Q13" i="11"/>
  <c r="BD19" i="8"/>
  <c r="BG19" i="8"/>
  <c r="F21" i="11"/>
  <c r="AW20" i="16"/>
  <c r="AV20" i="11"/>
  <c r="Y20" i="17"/>
  <c r="BQ20" i="16"/>
  <c r="K20" i="11"/>
  <c r="AC20" i="17"/>
  <c r="BS20" i="16"/>
  <c r="U20" i="21"/>
  <c r="W20" i="17"/>
  <c r="AJ20" i="11"/>
  <c r="AL20" i="21"/>
  <c r="AH20" i="11"/>
  <c r="E20" i="11"/>
  <c r="F20" i="21"/>
  <c r="P20" i="11"/>
  <c r="AB20" i="17"/>
  <c r="BD20" i="16"/>
  <c r="AV20" i="16"/>
  <c r="R20" i="17"/>
  <c r="I20" i="17"/>
  <c r="E20" i="17"/>
  <c r="F20" i="12"/>
  <c r="AI20" i="16"/>
  <c r="AM20" i="11"/>
  <c r="O20" i="17"/>
  <c r="F20" i="16"/>
  <c r="BI20" i="16"/>
  <c r="L20" i="11"/>
  <c r="BJ20" i="16"/>
  <c r="AR20" i="16"/>
  <c r="AG20" i="17"/>
  <c r="AH20" i="16"/>
  <c r="AT20" i="11"/>
  <c r="AU20" i="11"/>
  <c r="AN20" i="21"/>
  <c r="S20" i="21"/>
  <c r="Q20" i="17"/>
  <c r="AC20" i="21"/>
  <c r="T20" i="17"/>
  <c r="AS20" i="21"/>
  <c r="Z20" i="21"/>
  <c r="U20" i="17"/>
  <c r="BE20" i="16"/>
  <c r="AE20" i="16"/>
  <c r="AY20" i="11"/>
  <c r="H20" i="12"/>
  <c r="P20" i="16"/>
  <c r="AN20" i="11"/>
  <c r="AI20" i="17"/>
  <c r="BA20" i="16"/>
  <c r="AT20" i="20"/>
  <c r="Y20" i="16"/>
  <c r="AT20" i="17"/>
  <c r="J20" i="12"/>
  <c r="H20" i="16"/>
  <c r="AA20" i="16"/>
  <c r="G20" i="12"/>
  <c r="O20" i="16"/>
  <c r="U20" i="16"/>
  <c r="S20" i="11"/>
  <c r="V20" i="17"/>
  <c r="L20" i="21"/>
  <c r="J20" i="16"/>
  <c r="BE20" i="21"/>
  <c r="AF20" i="17"/>
  <c r="O20" i="11"/>
  <c r="AN20" i="17"/>
  <c r="AR20" i="20"/>
  <c r="AM20" i="16"/>
  <c r="K20" i="21"/>
  <c r="I20" i="12"/>
  <c r="AY20" i="16"/>
  <c r="AL20" i="16"/>
  <c r="AM20" i="17"/>
  <c r="AA20" i="21"/>
  <c r="U20" i="20"/>
  <c r="AO20" i="17"/>
  <c r="AR20" i="17"/>
  <c r="AW20" i="21"/>
  <c r="AO20" i="11"/>
  <c r="U20" i="11"/>
  <c r="I20" i="16"/>
  <c r="D20" i="12"/>
  <c r="AY20" i="21"/>
  <c r="AE20" i="17"/>
  <c r="I20" i="21"/>
  <c r="AU20" i="16"/>
  <c r="T20" i="11"/>
  <c r="BH20" i="16"/>
  <c r="M20" i="21"/>
  <c r="BK20" i="16"/>
  <c r="AQ20" i="16"/>
  <c r="AS20" i="11"/>
  <c r="AF20" i="21"/>
  <c r="S20" i="17"/>
  <c r="AC20" i="16"/>
  <c r="J20" i="21"/>
  <c r="AI20" i="21"/>
  <c r="S20" i="16"/>
  <c r="AD20" i="21"/>
  <c r="R20" i="11"/>
  <c r="M20" i="16"/>
  <c r="AJ20" i="17"/>
  <c r="AO20" i="16"/>
  <c r="K20" i="12"/>
  <c r="BO20" i="16"/>
  <c r="N20" i="11"/>
  <c r="V20" i="11"/>
  <c r="AD20" i="16"/>
  <c r="BM20" i="16"/>
  <c r="AB20" i="21"/>
  <c r="K20" i="17"/>
  <c r="E20" i="12"/>
  <c r="BG20" i="16"/>
  <c r="AV20" i="17"/>
  <c r="R20" i="16"/>
  <c r="AL20" i="17"/>
  <c r="K20" i="16"/>
  <c r="AU20" i="21"/>
  <c r="BB20" i="16"/>
  <c r="AF20" i="11"/>
  <c r="AD20" i="17"/>
  <c r="X20" i="16"/>
  <c r="BD20" i="21"/>
  <c r="AZ20" i="11"/>
  <c r="AN20" i="16"/>
  <c r="P20" i="21"/>
  <c r="AC20" i="11"/>
  <c r="AS20" i="17"/>
  <c r="Z20" i="11"/>
  <c r="AP20" i="21"/>
  <c r="AG20" i="16"/>
  <c r="AH20" i="21"/>
  <c r="BN20" i="16"/>
  <c r="J20" i="11"/>
  <c r="Q20" i="21"/>
  <c r="H20" i="21"/>
  <c r="H20" i="11"/>
  <c r="Z20" i="16"/>
  <c r="AP20" i="16"/>
  <c r="R20" i="21"/>
  <c r="F20" i="11"/>
  <c r="X20" i="11"/>
  <c r="N20" i="17"/>
  <c r="Z20" i="17"/>
  <c r="AT20" i="16"/>
  <c r="AP20" i="17"/>
  <c r="AJ20" i="16"/>
  <c r="X20" i="21"/>
  <c r="Q20" i="16"/>
  <c r="AB20" i="11"/>
  <c r="AG20" i="11"/>
  <c r="AE20" i="11"/>
  <c r="AR20" i="11"/>
  <c r="E20" i="21"/>
  <c r="AK20" i="17"/>
  <c r="AH20" i="17"/>
  <c r="AD20" i="11"/>
  <c r="W20" i="11"/>
  <c r="AS20" i="16"/>
  <c r="N20" i="16"/>
  <c r="Y20" i="11"/>
  <c r="X20" i="17"/>
  <c r="E20" i="16"/>
  <c r="I20" i="11"/>
  <c r="O20" i="21"/>
  <c r="Q20" i="11"/>
  <c r="AK20" i="16"/>
  <c r="V20" i="16"/>
  <c r="AA20" i="11"/>
  <c r="AO20" i="21"/>
  <c r="BF20" i="16"/>
  <c r="AJ20" i="21"/>
  <c r="M20" i="11"/>
  <c r="AF20" i="16"/>
  <c r="AG20" i="21"/>
  <c r="Y20" i="21"/>
  <c r="F20" i="17"/>
  <c r="AK20" i="21"/>
  <c r="AL20" i="11"/>
  <c r="AB20" i="16"/>
  <c r="AE20" i="21"/>
  <c r="T20" i="16"/>
  <c r="AI20" i="11"/>
  <c r="V20" i="21"/>
  <c r="BC20" i="16"/>
  <c r="AA20" i="17"/>
  <c r="L20" i="17"/>
  <c r="AW20" i="17"/>
  <c r="AM20" i="21"/>
  <c r="M20" i="17"/>
  <c r="N20" i="21"/>
  <c r="J20" i="17"/>
  <c r="V20" i="20"/>
  <c r="AZ20" i="16"/>
  <c r="AK20" i="11"/>
  <c r="AX20" i="16"/>
  <c r="BC20" i="21"/>
  <c r="W20" i="16"/>
  <c r="H19" i="2" l="1"/>
  <c r="BL20" i="16"/>
  <c r="AQ20" i="11"/>
  <c r="AT20" i="21"/>
  <c r="AP20" i="11"/>
  <c r="AQ20" i="17"/>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T21" i="11"/>
  <c r="I21" i="12"/>
  <c r="S19" i="11"/>
  <c r="T19" i="11" s="1"/>
  <c r="K18" i="7"/>
  <c r="K18" i="12"/>
  <c r="E21" i="16"/>
  <c r="P20" i="17"/>
  <c r="I19" i="7" l="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<sst xmlns="http://schemas.openxmlformats.org/spreadsheetml/2006/main" count="2088" uniqueCount="915">
  <si>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</si>
  <si>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</si>
  <si>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</si>
  <si>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</si>
  <si>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</si>
  <si>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</si>
  <si>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</si>
  <si>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</si>
  <si>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</si>
  <si>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</si>
  <si>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</si>
  <si>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</si>
  <si>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</si>
  <si>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</si>
  <si>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</si>
  <si>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</si>
  <si>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</si>
  <si>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</si>
  <si>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</si>
  <si>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</si>
  <si>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</si>
  <si>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</si>
  <si>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</si>
  <si>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</si>
  <si>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</si>
  <si>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</si>
  <si>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</si>
  <si>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</si>
  <si>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</si>
  <si>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</si>
  <si>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</si>
  <si>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</si>
  <si>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</si>
  <si>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</si>
  <si>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</si>
  <si>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</si>
  <si>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</si>
  <si>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</si>
  <si>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</si>
  <si>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</si>
  <si>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</si>
  <si>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</si>
  <si>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</si>
  <si>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</si>
  <si>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</si>
  <si>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</si>
  <si>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</si>
  <si>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</si>
  <si>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</si>
  <si>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</si>
  <si>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</si>
  <si>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</si>
  <si>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</si>
  <si>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</si>
  <si>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</si>
  <si>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</si>
  <si>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</si>
  <si>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</si>
  <si>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</si>
  <si>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</si>
  <si>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</si>
  <si>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</si>
  <si>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</si>
  <si>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</si>
  <si>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</si>
  <si>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</si>
  <si>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</si>
  <si>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</si>
  <si>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</si>
  <si>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</si>
  <si>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</si>
  <si>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</si>
  <si>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</si>
  <si>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</si>
  <si>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</si>
  <si>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</si>
  <si>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</si>
  <si>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</si>
  <si>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</si>
  <si>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</si>
  <si>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</si>
  <si>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</si>
  <si>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</si>
  <si>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</si>
  <si>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</si>
  <si>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</si>
  <si>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</si>
  <si>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</si>
  <si>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</si>
  <si>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</si>
  <si>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</si>
  <si>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</si>
  <si>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</si>
  <si>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</si>
  <si>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</si>
  <si>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</si>
  <si>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</si>
  <si>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</si>
  <si>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</si>
  <si>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</si>
  <si>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</si>
  <si>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</si>
  <si>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</si>
  <si>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</si>
  <si>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</si>
  <si>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</si>
  <si>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</si>
  <si>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</si>
  <si>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</si>
  <si>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</si>
  <si>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</si>
  <si>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</si>
  <si>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</si>
  <si>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</si>
  <si>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</si>
  <si>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</si>
  <si>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</si>
  <si>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</si>
  <si>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</si>
  <si>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</si>
  <si>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</si>
  <si>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</si>
  <si>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</si>
  <si>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</si>
  <si>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</si>
  <si>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</si>
  <si>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</si>
  <si>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</si>
  <si>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</si>
  <si>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</si>
  <si>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</si>
  <si>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</si>
  <si>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</si>
  <si>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</si>
  <si>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</si>
  <si>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</si>
  <si>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</si>
  <si>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</si>
  <si>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</si>
  <si>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</si>
  <si>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</si>
  <si>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</si>
  <si>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</si>
  <si>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</si>
  <si>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</si>
  <si>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</si>
  <si>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</si>
  <si>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</si>
  <si>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</si>
  <si>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</si>
  <si>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</si>
  <si>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</si>
  <si>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</si>
  <si>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</si>
  <si>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</si>
  <si>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</si>
  <si>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</si>
  <si>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</si>
  <si>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</si>
  <si>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</si>
  <si>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</si>
  <si>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</si>
  <si>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</si>
  <si>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</si>
  <si>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</si>
  <si>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</si>
  <si>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</si>
  <si>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</si>
  <si>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</si>
  <si>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</si>
  <si>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</si>
  <si>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</si>
  <si>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</si>
  <si>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</si>
  <si>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</si>
  <si>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</si>
  <si>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</si>
  <si>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</si>
  <si>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</si>
  <si>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</si>
  <si>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</si>
  <si>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</si>
  <si>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</si>
  <si>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</si>
  <si>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</si>
  <si>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</si>
  <si>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</si>
  <si>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</si>
  <si>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</si>
  <si>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</si>
  <si>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</si>
  <si>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</si>
  <si>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</si>
  <si>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</si>
  <si>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</si>
  <si>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</si>
  <si>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</si>
  <si>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</si>
  <si>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</si>
  <si>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</si>
  <si>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</si>
  <si>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</si>
  <si>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</si>
  <si>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</si>
  <si>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</si>
  <si>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</si>
  <si>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</si>
  <si>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</si>
  <si>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</si>
  <si>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</si>
  <si>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</si>
  <si>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</si>
  <si>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</si>
  <si>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</si>
  <si>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</si>
  <si>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</si>
  <si>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</si>
  <si>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</si>
  <si>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</si>
  <si>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</si>
  <si>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</si>
  <si>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</si>
  <si>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</si>
  <si>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</si>
  <si>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</si>
  <si>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</si>
  <si>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</si>
  <si>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</si>
  <si>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</si>
  <si>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</si>
  <si>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</si>
  <si>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</si>
  <si>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</si>
  <si>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</si>
  <si>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</si>
  <si>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</si>
  <si>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</si>
  <si>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</si>
  <si>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</si>
  <si>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</si>
  <si>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</si>
  <si>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</si>
  <si>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</si>
  <si>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</si>
  <si>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</si>
  <si>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</si>
  <si>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</si>
  <si>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</si>
  <si>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</si>
  <si>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</si>
  <si>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</si>
  <si>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</si>
  <si>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</si>
  <si>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</si>
  <si>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</si>
  <si>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</si>
  <si>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</si>
  <si>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</si>
  <si>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</si>
  <si>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</si>
  <si>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</si>
  <si>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</si>
  <si>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</si>
  <si>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</si>
  <si>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</si>
  <si>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</si>
  <si>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</si>
  <si>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</si>
  <si>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</si>
  <si>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</si>
  <si>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</si>
  <si>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</si>
  <si>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</si>
  <si>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</si>
  <si>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</si>
  <si>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</si>
  <si>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</si>
  <si>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</si>
  <si>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</si>
  <si>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</si>
  <si>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</si>
  <si>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</si>
  <si>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</si>
  <si>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</si>
  <si>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</si>
  <si>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</si>
  <si>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</si>
  <si>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</si>
  <si>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</si>
  <si>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</si>
  <si>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</si>
  <si>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</si>
  <si>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</si>
  <si>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</si>
  <si>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</si>
  <si>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</si>
  <si>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</si>
  <si>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</si>
  <si>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</si>
  <si>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</si>
  <si>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</si>
  <si>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</si>
  <si>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</si>
  <si>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</si>
  <si>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</si>
  <si>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</si>
  <si>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</si>
  <si>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</si>
  <si>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</si>
  <si>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</si>
  <si>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</si>
  <si>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</si>
  <si>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</si>
  <si>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</si>
  <si>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</si>
  <si>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</si>
  <si>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</si>
  <si>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</si>
  <si>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</si>
  <si>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</si>
  <si>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</si>
  <si>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</si>
  <si>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</si>
  <si>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</si>
  <si>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</si>
  <si>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</si>
  <si>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</si>
  <si>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</si>
  <si>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</si>
  <si>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</si>
  <si>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</si>
  <si>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</si>
  <si>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</si>
  <si>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</si>
  <si>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</si>
  <si>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</si>
  <si>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</si>
  <si>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</si>
  <si>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</si>
  <si>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</si>
  <si>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</si>
  <si>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</si>
  <si>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</si>
  <si>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</si>
  <si>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</si>
  <si>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</si>
  <si>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</si>
  <si>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</si>
  <si>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</si>
  <si>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</si>
  <si>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</si>
  <si>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</si>
  <si>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</si>
  <si>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</si>
  <si>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</si>
  <si>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</si>
  <si>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</si>
  <si>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</si>
  <si>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</si>
  <si>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</si>
  <si>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</si>
  <si>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</si>
  <si>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</si>
  <si>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</si>
  <si>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</si>
  <si>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</si>
  <si>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</si>
  <si>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</si>
  <si>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</si>
  <si>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</si>
  <si>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</si>
  <si>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</si>
  <si>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</si>
  <si>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</si>
  <si>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</si>
  <si>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</si>
  <si>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</si>
  <si>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</si>
  <si>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</si>
  <si>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</si>
  <si>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</si>
  <si>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</si>
  <si>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</si>
  <si>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</si>
  <si>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</si>
  <si>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</si>
  <si>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</si>
  <si>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</si>
  <si>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</si>
  <si>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</si>
  <si>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</si>
  <si>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</si>
  <si>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</si>
  <si>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</si>
  <si>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</si>
  <si>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</si>
  <si>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</si>
  <si>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</si>
  <si>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</si>
  <si>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</si>
  <si>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</si>
  <si>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</si>
  <si>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</si>
  <si>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</si>
  <si>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</si>
  <si>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</si>
  <si>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</si>
  <si>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</si>
  <si>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</si>
  <si>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</si>
  <si>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</si>
  <si>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</si>
  <si>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</si>
  <si>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</si>
  <si>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</si>
  <si>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</si>
  <si>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</si>
  <si>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</si>
  <si>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</si>
  <si>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</si>
  <si>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</si>
  <si>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</si>
  <si>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</si>
  <si>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</si>
  <si>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</si>
  <si>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</si>
  <si>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</si>
  <si>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</si>
  <si>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</si>
  <si>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</si>
  <si>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</si>
  <si>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</si>
  <si>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</si>
  <si>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</si>
  <si>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</si>
  <si>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</si>
  <si>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</si>
  <si>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</si>
  <si>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</si>
  <si>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</si>
  <si>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</si>
  <si>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</si>
  <si>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</si>
  <si>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</si>
  <si>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</si>
  <si>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</si>
  <si>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</si>
  <si>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</si>
  <si>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</si>
  <si>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</si>
  <si>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</si>
  <si>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</si>
  <si>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</si>
  <si>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</si>
  <si>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</si>
  <si>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</si>
  <si>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</si>
  <si>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</si>
  <si>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</si>
  <si>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</si>
  <si>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</si>
  <si>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</si>
  <si>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</si>
  <si>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</si>
  <si>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</si>
  <si>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</si>
  <si>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</si>
  <si>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</si>
  <si>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</si>
  <si>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</si>
  <si>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</si>
  <si>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</si>
  <si>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</si>
  <si>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</si>
  <si>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</si>
  <si>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</si>
  <si>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</si>
  <si>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</si>
  <si>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</si>
  <si>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</si>
  <si>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</si>
  <si>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</si>
  <si>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</si>
  <si>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</si>
  <si>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</si>
  <si>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</si>
  <si>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</si>
  <si>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</si>
  <si>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</si>
  <si>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</si>
  <si>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</si>
  <si>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</si>
  <si>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</si>
  <si>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</si>
  <si>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</si>
  <si>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</si>
  <si>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</si>
  <si>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</si>
  <si>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</si>
  <si>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</si>
  <si>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</si>
  <si>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</si>
  <si>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</si>
  <si>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</si>
  <si>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</si>
  <si>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</si>
  <si>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</si>
  <si>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</si>
  <si>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</si>
  <si>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</si>
  <si>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</si>
  <si>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</si>
  <si>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</si>
  <si>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</si>
  <si>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</si>
  <si>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</si>
  <si>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</si>
  <si>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</si>
  <si>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</si>
  <si>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</si>
  <si>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</si>
  <si>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</si>
  <si>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</si>
  <si>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</si>
  <si>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</si>
  <si>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</si>
  <si>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</si>
  <si>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</si>
  <si>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</si>
  <si>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</si>
  <si>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</si>
  <si>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</si>
  <si>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</si>
  <si>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</si>
  <si>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</si>
  <si>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</si>
  <si>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</si>
  <si>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</si>
  <si>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</si>
  <si>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</si>
  <si>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</si>
  <si>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</si>
  <si>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</si>
  <si>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</si>
  <si>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</si>
  <si>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</si>
  <si>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</si>
  <si>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</si>
  <si>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</si>
  <si>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</si>
  <si>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</si>
  <si>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</si>
  <si>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</si>
  <si>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</si>
  <si>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</si>
  <si>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</si>
  <si>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</si>
  <si>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</si>
  <si>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</si>
  <si>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</si>
  <si>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</si>
  <si>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</si>
  <si>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</si>
  <si>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</si>
  <si>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</si>
  <si>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</si>
  <si>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</si>
  <si>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</si>
  <si>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</si>
  <si>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</si>
  <si>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</si>
  <si>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</si>
  <si>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</si>
  <si>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</si>
  <si>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</si>
  <si>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</si>
  <si>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</si>
  <si>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</si>
  <si>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</si>
  <si>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</si>
  <si>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</si>
  <si>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</si>
  <si>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</si>
  <si>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</si>
  <si>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</si>
  <si>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</si>
  <si>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</si>
  <si>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</si>
  <si>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</si>
  <si>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</si>
  <si>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</si>
  <si>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</si>
  <si>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</si>
  <si>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</si>
  <si>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</si>
  <si>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</si>
  <si>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</si>
  <si>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</si>
  <si>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</si>
  <si>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</si>
  <si>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</si>
  <si>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</si>
  <si>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</si>
  <si>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</si>
  <si>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</si>
  <si>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</si>
  <si>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</si>
  <si>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</si>
  <si>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</si>
  <si>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</si>
  <si>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</si>
  <si>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</si>
  <si>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</si>
  <si>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</si>
  <si>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</si>
  <si>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</si>
  <si>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</si>
  <si>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</si>
  <si>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</si>
  <si>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</si>
  <si>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</si>
  <si>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</si>
  <si>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</si>
  <si>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</si>
  <si>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</si>
  <si>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</si>
  <si>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</si>
  <si>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</si>
  <si>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</si>
  <si>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</si>
  <si>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</si>
  <si>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</si>
  <si>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</si>
  <si>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</si>
  <si>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</si>
  <si>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</si>
  <si>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</si>
  <si>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</si>
  <si>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</si>
  <si>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</si>
  <si>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</si>
  <si>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</si>
  <si>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</si>
  <si>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</si>
  <si>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</si>
  <si>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</si>
  <si>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</si>
  <si>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</si>
  <si>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</si>
  <si>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</si>
  <si>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</si>
  <si>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</si>
  <si>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</si>
  <si>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</si>
  <si>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</si>
  <si>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</si>
  <si>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</si>
  <si>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</si>
  <si>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</si>
  <si>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</si>
  <si>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</si>
  <si>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</si>
  <si>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</si>
  <si>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</si>
  <si>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</si>
  <si>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</si>
  <si>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</si>
  <si>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</si>
  <si>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</si>
  <si>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</si>
  <si>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</si>
  <si>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</si>
  <si>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</si>
  <si>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</si>
  <si>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</si>
  <si>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</si>
  <si>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</si>
  <si>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</si>
  <si>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</si>
  <si>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</si>
  <si>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</si>
  <si>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</si>
  <si>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</si>
  <si>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</si>
  <si>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</si>
  <si>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</si>
  <si>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</si>
  <si>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</si>
  <si>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</si>
  <si>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</si>
  <si>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</si>
  <si>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</si>
  <si>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</si>
  <si>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</si>
  <si>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</si>
  <si>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</si>
  <si>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</si>
  <si>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</si>
  <si>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</si>
  <si>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</si>
  <si>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</si>
  <si>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</si>
  <si>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</si>
  <si>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</si>
  <si>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</si>
  <si>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</si>
  <si>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</si>
  <si>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</si>
  <si>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</si>
  <si>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</si>
  <si>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</si>
  <si>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</si>
  <si>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</si>
  <si>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</si>
  <si>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</si>
  <si>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</si>
  <si>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</si>
  <si>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</si>
  <si>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</si>
  <si>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</si>
  <si>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</si>
  <si>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</si>
  <si>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</si>
  <si>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</si>
  <si>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</si>
  <si>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</si>
  <si>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</si>
  <si>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</si>
  <si>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</si>
  <si>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</si>
  <si>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</si>
  <si>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</si>
  <si>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</si>
  <si>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</si>
  <si>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</si>
  <si>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</si>
  <si>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</si>
  <si>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</si>
  <si>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</si>
  <si>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</si>
  <si>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</si>
  <si>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</si>
  <si>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</si>
  <si>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</si>
  <si>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</si>
  <si>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</si>
  <si>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</si>
  <si>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</si>
  <si>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</si>
  <si>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</si>
  <si>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</si>
  <si>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</si>
  <si>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</si>
  <si>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</si>
  <si>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</si>
  <si>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</si>
  <si>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</si>
  <si>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</si>
  <si>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</si>
  <si>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</si>
  <si>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</si>
  <si>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</si>
  <si>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</si>
  <si>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</si>
  <si>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</si>
  <si>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</si>
  <si>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</si>
  <si>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</si>
  <si>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</si>
  <si>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</si>
  <si>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</si>
  <si>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</si>
  <si>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</si>
  <si>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</si>
  <si>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</si>
  <si>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</si>
  <si>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</si>
  <si>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</si>
  <si>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</si>
  <si>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</si>
  <si>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</si>
  <si>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</si>
  <si>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</si>
  <si>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</si>
  <si>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</si>
  <si>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</si>
  <si>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</si>
  <si>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</si>
  <si>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</si>
  <si>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</si>
  <si>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</si>
  <si>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</si>
  <si>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</si>
  <si>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</si>
  <si>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</si>
  <si>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</si>
  <si>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</si>
  <si>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</si>
  <si>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</si>
  <si>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</si>
  <si>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</si>
  <si>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</si>
  <si>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</si>
  <si>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</si>
  <si>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</si>
  <si>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</si>
  <si>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</si>
  <si>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</si>
  <si>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</si>
  <si>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</si>
  <si>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</si>
  <si>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</si>
  <si>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</si>
  <si>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</si>
  <si>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</si>
  <si>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</si>
  <si>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</si>
  <si>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</si>
  <si>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</si>
  <si>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</si>
  <si>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</si>
  <si>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</si>
  <si>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</si>
  <si>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</si>
  <si>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</si>
  <si>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</si>
  <si>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</si>
  <si>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</si>
  <si>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</si>
  <si>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</si>
  <si>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</si>
  <si>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</si>
  <si>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</si>
  <si>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</si>
  <si>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</si>
  <si>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</si>
  <si>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</si>
  <si>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</si>
  <si>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</si>
  <si>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</si>
  <si>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</si>
  <si>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</si>
  <si>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</si>
  <si>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</si>
  <si>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</si>
  <si>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</si>
  <si>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</si>
  <si>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</si>
  <si>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</si>
  <si>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</si>
  <si>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</si>
  <si>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</si>
  <si>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</si>
  <si>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</si>
  <si>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</si>
  <si>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</si>
  <si>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</si>
  <si>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</si>
  <si>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</si>
  <si>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</si>
  <si>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</si>
  <si>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</si>
  <si>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</si>
  <si>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</si>
  <si>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</si>
  <si>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</si>
  <si>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</si>
  <si>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</si>
  <si>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</si>
  <si>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</si>
  <si>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</si>
  <si>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</si>
  <si>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</si>
  <si>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</si>
  <si>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</si>
  <si>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</si>
  <si>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</si>
  <si>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</si>
  <si>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</si>
  <si>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</si>
  <si>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</si>
  <si>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</si>
  <si>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</si>
  <si>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</si>
  <si>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</si>
  <si>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</si>
  <si>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</si>
  <si>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</si>
  <si>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</si>
  <si>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</si>
  <si>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</si>
  <si>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</si>
  <si>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</si>
  <si>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</si>
  <si>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</si>
  <si>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</si>
  <si>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</si>
  <si>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</si>
  <si>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</si>
  <si>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</si>
  <si>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</si>
  <si>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</si>
  <si>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</si>
  <si>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</si>
  <si>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</si>
  <si>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</si>
  <si>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</si>
  <si>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</si>
  <si>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</si>
  <si>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Fecha Informe: 24 sep. 2025</t>
  </si>
  <si>
    <t>Tribunales de Justicia</t>
  </si>
  <si>
    <t>ARAGON</t>
  </si>
  <si>
    <t>Provincias</t>
  </si>
  <si>
    <t>ZARAGOZA</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</si>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</sst>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0</v>
      </c>
    </row>
    <row r="4" spans="1:19" ht="22.5" customHeight="1" thickBot="1">
      <c r="A4" s="367" t="s">
        <v>909</v>
      </c>
      <c r="B4" s="366"/>
      <c r="C4" s="366"/>
      <c r="D4" s="366"/>
      <c r="E4" s="366"/>
      <c r="F4" s="2"/>
      <c r="Q4" s="346">
        <v>2</v>
      </c>
      <c r="R4" s="346">
        <v>3</v>
      </c>
      <c r="S4" t="b">
        <f>AND(Q4&gt;=TrimIni,Q4&lt;=TrimFin)</f>
        <v>1</v>
      </c>
    </row>
    <row r="5" spans="1:19" ht="15.75" thickBot="1">
      <c r="A5" s="368" t="s">
        <v>37</v>
      </c>
      <c r="B5" s="369">
        <v>2025</v>
      </c>
      <c r="C5" s="370" t="s">
        <v>215</v>
      </c>
      <c r="D5" s="371">
        <v>2</v>
      </c>
      <c r="E5" s="372"/>
      <c r="F5" s="3"/>
      <c r="H5" t="s">
        <v>424</v>
      </c>
      <c r="Q5" s="346">
        <v>3</v>
      </c>
      <c r="R5" s="346">
        <v>2</v>
      </c>
      <c r="S5" t="b">
        <f>AND(Q5&gt;=TrimIni,Q5&lt;=TrimFin)</f>
        <v>0</v>
      </c>
    </row>
    <row r="6" spans="1:19" ht="15">
      <c r="A6" s="373"/>
      <c r="B6" s="372"/>
      <c r="C6" s="370" t="s">
        <v>216</v>
      </c>
      <c r="D6" s="371">
        <v>2</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910</v>
      </c>
      <c r="B9" s="375" t="s">
        <v>911</v>
      </c>
      <c r="C9" s="372"/>
      <c r="D9" s="372"/>
      <c r="E9" s="381"/>
      <c r="F9" s="3"/>
    </row>
    <row r="10" spans="1:19">
      <c r="A10" s="380" t="s">
        <v>912</v>
      </c>
      <c r="B10" s="372" t="s">
        <v>913</v>
      </c>
      <c r="C10" s="372"/>
      <c r="D10" s="372"/>
      <c r="E10" s="381"/>
      <c r="F10" s="3"/>
      <c r="Q10" s="346">
        <v>0</v>
      </c>
    </row>
    <row r="11" spans="1:19" ht="13.5" thickBot="1">
      <c r="A11" s="382" t="s">
        <v>914</v>
      </c>
      <c r="B11" s="383" t="s">
        <v>913</v>
      </c>
      <c r="C11" s="383"/>
      <c r="D11" s="383"/>
      <c r="E11" s="384"/>
      <c r="F11" s="3"/>
    </row>
    <row r="12" spans="1:19" ht="40.5" customHeight="1" thickBot="1">
      <c r="A12" s="374"/>
      <c r="B12" s="372"/>
      <c r="C12" s="372"/>
      <c r="D12" s="372"/>
      <c r="E12" s="372"/>
      <c r="F12" s="3"/>
      <c r="Q12" s="1105"/>
    </row>
    <row r="13" spans="1:19" ht="15">
      <c r="A13" s="385" t="s">
        <v>124</v>
      </c>
      <c r="B13" s="386" t="s">
        <v>55</v>
      </c>
      <c r="C13" s="790" t="s">
        <v>723</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KU/iSL1rhM/UbOOsN6K+UIFOonrtsQPGrebCV2/6hU8V7SOwx3+wGyLDXN679JHZGoJUtsEdy4iWfZCKp5EaaA==" saltValue="/Rghok7VISSJHsjCFXuoH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ARAGON</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2025      Trimestre   2 al 2</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817</v>
      </c>
      <c r="T7" s="1145" t="s">
        <v>818</v>
      </c>
      <c r="U7" s="1145" t="s">
        <v>819</v>
      </c>
      <c r="V7" s="1145" t="s">
        <v>820</v>
      </c>
      <c r="W7" s="1091" t="s">
        <v>448</v>
      </c>
      <c r="X7" s="1159" t="s">
        <v>834</v>
      </c>
      <c r="Y7" s="1159" t="s">
        <v>835</v>
      </c>
      <c r="Z7" s="1160" t="s">
        <v>836</v>
      </c>
      <c r="AA7" s="1094" t="s">
        <v>448</v>
      </c>
      <c r="AB7" s="1159" t="s">
        <v>449</v>
      </c>
      <c r="AC7" s="1159" t="s">
        <v>837</v>
      </c>
      <c r="AD7" s="1160" t="s">
        <v>838</v>
      </c>
      <c r="AE7" s="1095" t="s">
        <v>815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19</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f>IF(ISNUMBER(NºAsuntos!I9/NºAsuntos!G9),(NºAsuntos!I9/NºAsuntos!G9)*11," - ")</f>
        <v>22.209425424741742</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3</v>
      </c>
      <c r="B10" s="502" t="str">
        <f>Datos!A10</f>
        <v>Jdos. Violencia contra la mujer</v>
      </c>
      <c r="C10" s="225">
        <f t="shared" si="0"/>
        <v>202</v>
      </c>
      <c r="D10" s="225">
        <f>IF(ISNUMBER(Datos!I10),Datos!I10," - ")</f>
        <v>202</v>
      </c>
      <c r="E10" s="226">
        <f>IF(ISNUMBER(Datos!J10),Datos!J10," - ")</f>
        <v>139</v>
      </c>
      <c r="F10" s="226">
        <f>IF(ISNUMBER(Datos!K10),Datos!K10," - ")</f>
        <v>155</v>
      </c>
      <c r="G10" s="1034" t="str">
        <f>IF(Datos!E10&lt;&gt;"",Datos!E10,Datos!D10)</f>
        <v>37</v>
      </c>
      <c r="H10" s="227">
        <f>IF(ISNUMBER(Datos!L10),Datos!L10," - ")</f>
        <v>186</v>
      </c>
      <c r="I10" s="1044" t="str">
        <f>IF(ISNUMBER(Datos!AS10/Datos!BM10),Datos!AS10/Datos!BM10," - ")</f>
        <v xml:space="preserve"> - </v>
      </c>
      <c r="J10" s="1045">
        <f>IF(ISNUMBER(Datos!BY10/Datos!CN10),Datos!BY10/Datos!CN10," - ")</f>
        <v>0</v>
      </c>
      <c r="K10" s="230">
        <f t="shared" ref="K10:K12" si="1">IF(ISNUMBER((E10-F10)/C10),(E10-F10)/C10," - ")</f>
        <v>-7.9207920792079209E-2</v>
      </c>
      <c r="L10" s="1025">
        <f>IF(ISNUMBER(NºAsuntos!I10/NºAsuntos!G10),(NºAsuntos!I10/NºAsuntos!G10)*11," - ")</f>
        <v>13.2</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4</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f>IF(ISNUMBER(NºAsuntos!I11/NºAsuntos!G11),(NºAsuntos!I11/NºAsuntos!G11)*11," - ")</f>
        <v>11.08154859967051</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0</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t="str">
        <f>IF(ISNUMBER(NºAsuntos!I12/NºAsuntos!G12),(NºAsuntos!I12/NºAsuntos!G12)*11," - ")</f>
        <v xml:space="preserve"> - </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202</v>
      </c>
      <c r="D13" s="1049">
        <f>SUBTOTAL(9,D9:D12)</f>
        <v>202</v>
      </c>
      <c r="E13" s="1050">
        <f>SUBTOTAL(9,E9:E12)</f>
        <v>139</v>
      </c>
      <c r="F13" s="1051">
        <f>SUBTOTAL(9,F9:F12)</f>
        <v>155</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12</v>
      </c>
      <c r="B15" s="502" t="str">
        <f>Datos!A15</f>
        <v xml:space="preserve">Jdos. Instrucción                               </v>
      </c>
      <c r="C15" s="225">
        <f t="shared" ref="C15:C17" si="2">IF(ISNUMBER(H15-E15+F15),H15-E15+F15," - ")</f>
        <v>6237</v>
      </c>
      <c r="D15" s="225">
        <f>IF(ISNUMBER(IF(D_I="SI",Datos!I15,Datos!I15+Datos!AC15)),IF(D_I="SI",Datos!I15,Datos!I15+Datos!AC15)," - ")</f>
        <v>6032</v>
      </c>
      <c r="E15" s="226">
        <f>IF(ISNUMBER(IF(D_I="SI",Datos!J15,Datos!J15+Datos!AD15)),IF(D_I="SI",Datos!J15,Datos!J15+Datos!AD15)," - ")</f>
        <v>11516</v>
      </c>
      <c r="F15" s="226">
        <f>IF(ISNUMBER(IF(D_I="SI",Datos!K15,Datos!K15+Datos!AE15)),IF(D_I="SI",Datos!K15,Datos!K15+Datos!AE15)," - ")</f>
        <v>11989</v>
      </c>
      <c r="G15" s="1034" t="str">
        <f>IF(Datos!E15&lt;&gt;"",Datos!E15,Datos!D15)</f>
        <v>03</v>
      </c>
      <c r="H15" s="227">
        <f>IF(ISNUMBER(IF(D_I="SI",Datos!L15,Datos!L15+Datos!AF15)),IF(D_I="SI",Datos!L15,Datos!L15+Datos!AF15)," - ")</f>
        <v>5764</v>
      </c>
      <c r="I15" s="1044" t="str">
        <f>IF(ISNUMBER(Datos!AS15/Datos!BM15),Datos!AS15/Datos!BM15," - ")</f>
        <v xml:space="preserve"> - </v>
      </c>
      <c r="J15" s="1045">
        <f>IF(ISNUMBER(Datos!BY15/Datos!CN15),Datos!BY15/Datos!CN15," - ")</f>
        <v>0</v>
      </c>
      <c r="K15" s="230">
        <f t="shared" ref="K15:K17" si="3">IF(ISNUMBER((E15-F15)/C15),(E15-F15)/C15," - ")</f>
        <v>-7.5837742504409167E-2</v>
      </c>
      <c r="L15" s="1025">
        <f>IF(ISNUMBER(NºAsuntos!I15/NºAsuntos!G15),(NºAsuntos!I15/NºAsuntos!G15)*11," - ")</f>
        <v>5.2885144715989654</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0</v>
      </c>
      <c r="B16" s="502" t="str">
        <f>Datos!A16</f>
        <v xml:space="preserve">Jdos. 1ª Instª. e Instr.                        </v>
      </c>
      <c r="C16" s="225" t="str">
        <f t="shared" si="2"/>
        <v xml:space="preserve"> - </v>
      </c>
      <c r="D16" s="225" t="str">
        <f>IF(ISNUMBER(IF(D_I="SI",Datos!I16,Datos!I16+Datos!AC16)),IF(D_I="SI",Datos!I16,Datos!I16+Datos!AC16)," - ")</f>
        <v xml:space="preserve"> - </v>
      </c>
      <c r="E16" s="226" t="str">
        <f>IF(ISNUMBER(IF(D_I="SI",Datos!J16,Datos!J16+Datos!AD16)),IF(D_I="SI",Datos!J16,Datos!J16+Datos!AD16)," - ")</f>
        <v xml:space="preserve"> - </v>
      </c>
      <c r="F16" s="226" t="str">
        <f>IF(ISNUMBER(IF(D_I="SI",Datos!K16,Datos!K16+Datos!AE16)),IF(D_I="SI",Datos!K16,Datos!K16+Datos!AE16)," - ")</f>
        <v xml:space="preserve"> - </v>
      </c>
      <c r="G16" s="1034" t="str">
        <f>IF(Datos!E16&lt;&gt;"",Datos!E16,Datos!D16)</f>
        <v>04</v>
      </c>
      <c r="H16" s="227" t="str">
        <f>IF(ISNUMBER(IF(D_I="SI",Datos!L16,Datos!L16+Datos!AF16)),IF(D_I="SI",Datos!L16,Datos!L16+Datos!AF16)," - ")</f>
        <v xml:space="preserve"> - </v>
      </c>
      <c r="I16" s="1044" t="str">
        <f>IF(ISNUMBER(Datos!AS16/Datos!BM16),Datos!AS16/Datos!BM16," - ")</f>
        <v xml:space="preserve"> - </v>
      </c>
      <c r="J16" s="1045">
        <f>IF(ISNUMBER(Datos!BY16/Datos!CN16),Datos!BY16/Datos!CN16," - ")</f>
        <v>0</v>
      </c>
      <c r="K16" s="230" t="str">
        <f t="shared" si="3"/>
        <v xml:space="preserve"> - </v>
      </c>
      <c r="L16" s="1025" t="str">
        <f>IF(ISNUMBER(NºAsuntos!I16/NºAsuntos!G16),(NºAsuntos!I16/NºAsuntos!G16)*11," - ")</f>
        <v xml:space="preserve"> - </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3</v>
      </c>
      <c r="B17" s="502" t="str">
        <f>Datos!A17</f>
        <v>Jdos. Violencia contra la mujer</v>
      </c>
      <c r="C17" s="225">
        <f t="shared" si="2"/>
        <v>453</v>
      </c>
      <c r="D17" s="225">
        <f>IF(ISNUMBER(IF(D_I="SI",Datos!I17,Datos!I17+Datos!AC17)),IF(D_I="SI",Datos!I17,Datos!I17+Datos!AC17)," - ")</f>
        <v>410</v>
      </c>
      <c r="E17" s="226">
        <f>IF(ISNUMBER(IF(D_I="SI",Datos!J17,Datos!J17+Datos!AD17)),IF(D_I="SI",Datos!J17,Datos!J17+Datos!AD17)," - ")</f>
        <v>1256</v>
      </c>
      <c r="F17" s="226">
        <f>IF(ISNUMBER(IF(D_I="SI",Datos!K17,Datos!K17+Datos!AE17)),IF(D_I="SI",Datos!K17,Datos!K17+Datos!AE17)," - ")</f>
        <v>1391</v>
      </c>
      <c r="G17" s="1034" t="str">
        <f>IF(Datos!E17&lt;&gt;"",Datos!E17,Datos!D17)</f>
        <v>37</v>
      </c>
      <c r="H17" s="227">
        <f>IF(ISNUMBER(IF(D_I="SI",Datos!L17,Datos!L17+Datos!AF17)),IF(D_I="SI",Datos!L17,Datos!L17+Datos!AF17)," - ")</f>
        <v>318</v>
      </c>
      <c r="I17" s="1044" t="str">
        <f>IF(ISNUMBER(Datos!AS17/Datos!BM17),Datos!AS17/Datos!BM17," - ")</f>
        <v xml:space="preserve"> - </v>
      </c>
      <c r="J17" s="1045" t="str">
        <f>IF(ISNUMBER((Datos!BY17+Datos!BZ17)/Datos!CN17),(Datos!BY17+Datos!BZ17)/Datos!CN17," - ")</f>
        <v xml:space="preserve"> - </v>
      </c>
      <c r="K17" s="230">
        <f t="shared" si="3"/>
        <v>-0.29801324503311261</v>
      </c>
      <c r="L17" s="1025">
        <f>IF(ISNUMBER(NºAsuntos!I17/NºAsuntos!G17),(NºAsuntos!I17/NºAsuntos!G17)*11," - ")</f>
        <v>2.5147375988497482</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6690</v>
      </c>
      <c r="D18" s="1049">
        <f>SUBTOTAL(9,D15:D17)</f>
        <v>6442</v>
      </c>
      <c r="E18" s="1050">
        <f>SUBTOTAL(9,E15:E17)</f>
        <v>12772</v>
      </c>
      <c r="F18" s="1050">
        <f>SUBTOTAL(9,F15:F17)</f>
        <v>13380</v>
      </c>
      <c r="G18" s="1052" t="str">
        <f ca="1">INDIRECT(CONCATENATE("G",ROW()-1))</f>
        <v>37</v>
      </c>
      <c r="H18" s="1053">
        <f ca="1">SUMIF(G$14:G17,G18,H$14:H17)</f>
        <v>318</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6892</v>
      </c>
      <c r="D19" s="1071">
        <f>SUBTOTAL(9,D9:D18)</f>
        <v>6644</v>
      </c>
      <c r="E19" s="1072">
        <f>SUBTOTAL(9,E9:E18)</f>
        <v>12911</v>
      </c>
      <c r="F19" s="1072">
        <f>SUBTOTAL(9,F9:F18)</f>
        <v>13535</v>
      </c>
      <c r="G19" s="1073"/>
      <c r="H19" s="1074">
        <f ca="1">SUMIF(B9:B18,"TOTAL",H9:H18)</f>
        <v>318</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24 sep.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630</v>
      </c>
      <c r="O25" s="1355"/>
      <c r="P25" s="1355"/>
      <c r="Q25" s="1355"/>
      <c r="R25" s="1355"/>
      <c r="S25" s="1355"/>
      <c r="T25" s="1355"/>
      <c r="U25" s="1355"/>
      <c r="V25" s="1355"/>
      <c r="W25" s="1355"/>
      <c r="Y25" s="1355" t="s">
        <v>631</v>
      </c>
      <c r="Z25" s="1355"/>
      <c r="AA25" s="1355"/>
      <c r="AB25" s="1355"/>
      <c r="AC25" s="1355"/>
      <c r="AD25" s="1355"/>
    </row>
    <row r="27" spans="1:78">
      <c r="N27" s="1031" t="s">
        <v>632</v>
      </c>
      <c r="O27" s="1356" t="s">
        <v>633</v>
      </c>
      <c r="P27" s="1356"/>
      <c r="Q27" s="1356"/>
      <c r="R27" s="1356"/>
      <c r="S27" s="1356"/>
      <c r="T27" s="1356"/>
      <c r="U27" s="1356"/>
      <c r="V27" s="1356"/>
      <c r="W27" s="1356"/>
      <c r="Y27" s="1031" t="s">
        <v>632</v>
      </c>
      <c r="Z27" s="1357" t="s">
        <v>634</v>
      </c>
      <c r="AA27" s="1357"/>
      <c r="AB27" s="1357"/>
      <c r="AC27" s="1357"/>
      <c r="AD27" s="1357"/>
    </row>
    <row r="28" spans="1:78">
      <c r="N28" s="1031" t="s">
        <v>635</v>
      </c>
      <c r="O28" s="1356" t="s">
        <v>636</v>
      </c>
      <c r="P28" s="1356"/>
      <c r="Q28" s="1356"/>
      <c r="R28" s="1356"/>
      <c r="S28" s="1356"/>
      <c r="T28" s="1356"/>
      <c r="U28" s="1356"/>
      <c r="V28" s="1356"/>
      <c r="W28" s="1356"/>
      <c r="Y28" s="1031" t="s">
        <v>635</v>
      </c>
      <c r="Z28" s="1357" t="s">
        <v>637</v>
      </c>
      <c r="AA28" s="1357"/>
      <c r="AB28" s="1357"/>
      <c r="AC28" s="1357"/>
      <c r="AD28" s="1357"/>
    </row>
    <row r="29" spans="1:78">
      <c r="N29" s="1031" t="s">
        <v>638</v>
      </c>
      <c r="O29" s="1356" t="s">
        <v>639</v>
      </c>
      <c r="P29" s="1356"/>
      <c r="Q29" s="1356"/>
      <c r="R29" s="1356"/>
      <c r="S29" s="1356"/>
      <c r="T29" s="1356"/>
      <c r="U29" s="1356"/>
      <c r="V29" s="1356"/>
      <c r="W29" s="1356"/>
      <c r="Y29" s="1031" t="s">
        <v>640</v>
      </c>
      <c r="Z29" s="1357" t="s">
        <v>869</v>
      </c>
      <c r="AA29" s="1357"/>
      <c r="AB29" s="1357"/>
      <c r="AC29" s="1357"/>
      <c r="AD29" s="1357"/>
    </row>
    <row r="30" spans="1:78">
      <c r="N30" s="1031" t="s">
        <v>641</v>
      </c>
      <c r="O30" s="1356" t="s">
        <v>642</v>
      </c>
      <c r="P30" s="1356"/>
      <c r="Q30" s="1356"/>
      <c r="R30" s="1356"/>
      <c r="S30" s="1356"/>
      <c r="T30" s="1356"/>
      <c r="U30" s="1356"/>
      <c r="V30" s="1356"/>
      <c r="W30" s="1356"/>
      <c r="Y30" s="1031" t="s">
        <v>643</v>
      </c>
      <c r="Z30" s="1357" t="s">
        <v>870</v>
      </c>
      <c r="AA30" s="1357"/>
      <c r="AB30" s="1357"/>
      <c r="AC30" s="1357"/>
      <c r="AD30" s="1357"/>
    </row>
    <row r="31" spans="1:78">
      <c r="N31" s="1031" t="s">
        <v>726</v>
      </c>
      <c r="O31" s="1356" t="s">
        <v>727</v>
      </c>
      <c r="P31" s="1356"/>
      <c r="Q31" s="1356"/>
      <c r="R31" s="1356"/>
      <c r="S31" s="1356"/>
      <c r="T31" s="1356"/>
      <c r="U31" s="1356"/>
      <c r="V31" s="1356"/>
      <c r="W31" s="1356"/>
      <c r="Y31" s="1031" t="s">
        <v>638</v>
      </c>
      <c r="Z31" s="1357" t="s">
        <v>639</v>
      </c>
      <c r="AA31" s="1357"/>
      <c r="AB31" s="1357"/>
      <c r="AC31" s="1357"/>
      <c r="AD31" s="1357"/>
    </row>
    <row r="32" spans="1:78">
      <c r="N32" s="1031" t="s">
        <v>644</v>
      </c>
      <c r="O32" s="1356" t="s">
        <v>645</v>
      </c>
      <c r="P32" s="1356"/>
      <c r="Q32" s="1356"/>
      <c r="R32" s="1356"/>
      <c r="S32" s="1356"/>
      <c r="T32" s="1356"/>
      <c r="U32" s="1356"/>
      <c r="V32" s="1356"/>
      <c r="W32" s="1356"/>
      <c r="Y32" s="1031" t="s">
        <v>641</v>
      </c>
      <c r="Z32" s="1357" t="s">
        <v>642</v>
      </c>
      <c r="AA32" s="1357"/>
      <c r="AB32" s="1357"/>
      <c r="AC32" s="1357"/>
      <c r="AD32" s="1357"/>
    </row>
    <row r="33" spans="14:30">
      <c r="N33" s="1031" t="s">
        <v>646</v>
      </c>
      <c r="O33" s="1356" t="s">
        <v>647</v>
      </c>
      <c r="P33" s="1356"/>
      <c r="Q33" s="1356"/>
      <c r="R33" s="1356"/>
      <c r="S33" s="1356"/>
      <c r="T33" s="1356"/>
      <c r="U33" s="1356"/>
      <c r="V33" s="1356"/>
      <c r="W33" s="1356"/>
      <c r="Y33" s="1031" t="s">
        <v>726</v>
      </c>
      <c r="Z33" s="1357" t="s">
        <v>894</v>
      </c>
      <c r="AA33" s="1357"/>
      <c r="AB33" s="1357"/>
      <c r="AC33" s="1357"/>
      <c r="AD33" s="1357"/>
    </row>
    <row r="34" spans="14:30">
      <c r="N34" s="1031" t="s">
        <v>640</v>
      </c>
      <c r="O34" s="1356" t="s">
        <v>867</v>
      </c>
      <c r="P34" s="1356"/>
      <c r="Q34" s="1356"/>
      <c r="R34" s="1356"/>
      <c r="S34" s="1356"/>
      <c r="T34" s="1356"/>
      <c r="U34" s="1356"/>
      <c r="V34" s="1356"/>
      <c r="W34" s="1356"/>
      <c r="Y34" s="1031" t="s">
        <v>648</v>
      </c>
      <c r="Z34" s="1357" t="s">
        <v>649</v>
      </c>
      <c r="AA34" s="1357"/>
      <c r="AB34" s="1357"/>
      <c r="AC34" s="1357"/>
      <c r="AD34" s="1357"/>
    </row>
    <row r="35" spans="14:30">
      <c r="N35" s="1031" t="s">
        <v>643</v>
      </c>
      <c r="O35" s="1356" t="s">
        <v>868</v>
      </c>
      <c r="P35" s="1356"/>
      <c r="Q35" s="1356"/>
      <c r="R35" s="1356"/>
      <c r="S35" s="1356"/>
      <c r="T35" s="1356"/>
      <c r="U35" s="1356"/>
      <c r="V35" s="1356"/>
      <c r="W35" s="1356"/>
      <c r="Y35" s="1031" t="s">
        <v>650</v>
      </c>
      <c r="Z35" s="1357" t="s">
        <v>651</v>
      </c>
      <c r="AA35" s="1357"/>
      <c r="AB35" s="1357"/>
      <c r="AC35" s="1357"/>
      <c r="AD35" s="1357"/>
    </row>
    <row r="36" spans="14:30">
      <c r="N36" s="1031" t="s">
        <v>648</v>
      </c>
      <c r="O36" s="1356" t="s">
        <v>652</v>
      </c>
      <c r="P36" s="1356"/>
      <c r="Q36" s="1356"/>
      <c r="R36" s="1356"/>
      <c r="S36" s="1356"/>
      <c r="T36" s="1356"/>
      <c r="U36" s="1356"/>
      <c r="V36" s="1356"/>
      <c r="W36" s="1356"/>
      <c r="Y36" s="1031" t="s">
        <v>653</v>
      </c>
      <c r="Z36" s="1357" t="s">
        <v>654</v>
      </c>
      <c r="AA36" s="1357"/>
      <c r="AB36" s="1357"/>
      <c r="AC36" s="1357"/>
      <c r="AD36" s="1357"/>
    </row>
    <row r="37" spans="14:30">
      <c r="N37" s="1031" t="s">
        <v>655</v>
      </c>
      <c r="O37" s="1356" t="s">
        <v>656</v>
      </c>
      <c r="P37" s="1356"/>
      <c r="Q37" s="1356"/>
      <c r="R37" s="1356"/>
      <c r="S37" s="1356"/>
      <c r="T37" s="1356"/>
      <c r="U37" s="1356"/>
      <c r="V37" s="1356"/>
      <c r="W37" s="1356"/>
      <c r="Y37" s="1031" t="s">
        <v>644</v>
      </c>
      <c r="Z37" s="1357" t="s">
        <v>645</v>
      </c>
      <c r="AA37" s="1357"/>
      <c r="AB37" s="1357"/>
      <c r="AC37" s="1357"/>
      <c r="AD37" s="1357"/>
    </row>
    <row r="38" spans="14:30">
      <c r="N38" s="1031" t="s">
        <v>650</v>
      </c>
      <c r="O38" s="1356" t="s">
        <v>657</v>
      </c>
      <c r="P38" s="1356"/>
      <c r="Q38" s="1356"/>
      <c r="R38" s="1356"/>
      <c r="S38" s="1356"/>
      <c r="T38" s="1356"/>
      <c r="U38" s="1356"/>
      <c r="V38" s="1356"/>
      <c r="W38" s="1356"/>
      <c r="Y38" s="1032" t="s">
        <v>646</v>
      </c>
      <c r="Z38" s="1359" t="s">
        <v>647</v>
      </c>
      <c r="AA38" s="1359"/>
      <c r="AB38" s="1359"/>
      <c r="AC38" s="1359"/>
      <c r="AD38" s="1359"/>
    </row>
    <row r="39" spans="14:30">
      <c r="N39" s="1032" t="s">
        <v>653</v>
      </c>
      <c r="O39" s="1358" t="s">
        <v>658</v>
      </c>
      <c r="P39" s="1358"/>
      <c r="Q39" s="1358"/>
      <c r="R39" s="1358"/>
      <c r="S39" s="1358"/>
      <c r="T39" s="1358"/>
      <c r="U39" s="1358"/>
      <c r="V39" s="1358"/>
      <c r="W39" s="1358"/>
    </row>
  </sheetData>
  <sheetProtection algorithmName="SHA-512" hashValue="T0qP479rI8NStIljj3z3D6ctf5Sfzpvs8LrqKF1rS5oCu/mWj2XOTbZvl9rpYZOdAK0AfOD+qpvk4tkpoJAhqw==" saltValue="1vbRcFBHkMBSxneN2hyxeA=="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8FNBKsw4u1VJ/Tr7VQwpsUh5qRjcXRixURnONz0Zw796nXg2UrjApge/oCH+D/mrPvrhq3cXGJ6gBjZXvTPYNA==" saltValue="UBvOb6C5rOqG6bU7buQ1i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M35" sqref="M3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ARAGON</v>
      </c>
    </row>
    <row r="4" spans="1:156" ht="13.5" thickBot="1">
      <c r="A4" t="str">
        <f>Criterios!A10</f>
        <v>Provincias</v>
      </c>
      <c r="B4" t="str">
        <f>Criterios!B10</f>
        <v>ZARAGOZA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745</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470" t="s">
        <v>744</v>
      </c>
      <c r="ER8" s="470">
        <v>148</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v>22621</v>
      </c>
      <c r="J9" s="181">
        <v>11747</v>
      </c>
      <c r="K9" s="181">
        <v>11313</v>
      </c>
      <c r="L9" s="181">
        <v>23194</v>
      </c>
      <c r="M9" s="181">
        <v>4343</v>
      </c>
      <c r="N9" s="181">
        <v>3975</v>
      </c>
      <c r="O9" s="181">
        <v>4393</v>
      </c>
      <c r="P9" s="181">
        <v>3127</v>
      </c>
      <c r="Q9" s="181">
        <v>1725</v>
      </c>
      <c r="R9" s="181">
        <v>35880</v>
      </c>
      <c r="S9" s="181">
        <v>23284</v>
      </c>
      <c r="T9" s="181">
        <v>13173</v>
      </c>
      <c r="U9" s="181">
        <v>10753</v>
      </c>
      <c r="V9" s="181">
        <v>25704</v>
      </c>
      <c r="W9" s="181">
        <v>3574</v>
      </c>
      <c r="X9" s="188">
        <v>3875</v>
      </c>
      <c r="Y9" s="191">
        <v>258</v>
      </c>
      <c r="Z9" s="181">
        <v>597</v>
      </c>
      <c r="AA9" s="181">
        <v>400</v>
      </c>
      <c r="AB9" s="181">
        <v>455</v>
      </c>
      <c r="AC9" s="181">
        <v>0</v>
      </c>
      <c r="AD9" s="181">
        <v>0</v>
      </c>
      <c r="AE9" s="181">
        <v>0</v>
      </c>
      <c r="AF9" s="188">
        <v>0</v>
      </c>
      <c r="AG9" s="191">
        <v>441</v>
      </c>
      <c r="AH9" s="181">
        <v>465</v>
      </c>
      <c r="AI9" s="181">
        <v>552</v>
      </c>
      <c r="AJ9" s="192">
        <v>354</v>
      </c>
      <c r="AK9" s="180">
        <v>0</v>
      </c>
      <c r="AL9" s="181">
        <v>0</v>
      </c>
      <c r="AM9" s="181">
        <v>0</v>
      </c>
      <c r="AN9" s="188">
        <v>0</v>
      </c>
      <c r="AO9" s="258">
        <v>19</v>
      </c>
      <c r="AP9" s="154">
        <v>19</v>
      </c>
      <c r="AQ9" s="154">
        <v>19</v>
      </c>
      <c r="AR9" s="193">
        <v>19</v>
      </c>
      <c r="AS9" s="338" t="s">
        <v>791</v>
      </c>
      <c r="AT9" s="195"/>
      <c r="AU9" s="194"/>
      <c r="AV9" s="195"/>
      <c r="AW9" s="194"/>
      <c r="AX9" s="195"/>
      <c r="AY9" s="123">
        <f>IF(ISNUMBER(IF(J_V="SI",S9,S9+AG9)),IF(J_V="SI",S9,S9+AG9)," - ")</f>
        <v>23725</v>
      </c>
      <c r="AZ9" s="123">
        <f>IF(ISNUMBER(IF(J_V="SI",T9,T9+AH9)),IF(J_V="SI",T9,T9+AH9)," - ")</f>
        <v>13638</v>
      </c>
      <c r="BA9" s="124">
        <f>IF(ISNUMBER(IF(J_V="SI",U9,U9+AI9)),IF(J_V="SI",U9,U9+AI9)," - ")</f>
        <v>11305</v>
      </c>
      <c r="BB9" s="124">
        <f>IF(ISNUMBER(IF(J_V="SI",V9,V9+AJ9)),IF(J_V="SI",V9,V9+AJ9)," - ")</f>
        <v>26058</v>
      </c>
      <c r="BC9" s="125">
        <f>IF(ISNUMBER(X9),X9," - ")</f>
        <v>3875</v>
      </c>
      <c r="BD9" s="126">
        <f>IF(ISNUMBER(BA9/AZ9),BA9/AZ9," - ")</f>
        <v>0.82893386126998092</v>
      </c>
      <c r="BE9" s="127">
        <f>IF(ISNUMBER(BB9/BA9),BB9/BA9, " - ")</f>
        <v>2.30499778858912</v>
      </c>
      <c r="BF9" s="127">
        <f>IF(ISNUMBER(BC9/BA9),BC9/BA9, " - ")</f>
        <v>0.3427686864219372</v>
      </c>
      <c r="BG9" s="196">
        <f>IF(ISNUMBER((AY9+AZ9)/BA9),(AY9+AZ9)/BA9," - ")</f>
        <v>3.30499778858912</v>
      </c>
      <c r="BH9" s="154">
        <v>19</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858</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202</v>
      </c>
      <c r="J10" s="181">
        <v>139</v>
      </c>
      <c r="K10" s="181">
        <v>155</v>
      </c>
      <c r="L10" s="181">
        <v>186</v>
      </c>
      <c r="M10" s="181">
        <v>49</v>
      </c>
      <c r="N10" s="181">
        <v>83</v>
      </c>
      <c r="O10" s="181">
        <v>26</v>
      </c>
      <c r="P10" s="181">
        <v>33</v>
      </c>
      <c r="Q10" s="181">
        <v>30</v>
      </c>
      <c r="R10" s="181">
        <v>290</v>
      </c>
      <c r="S10" s="181">
        <v>184</v>
      </c>
      <c r="T10" s="181">
        <v>156</v>
      </c>
      <c r="U10" s="181">
        <v>180</v>
      </c>
      <c r="V10" s="181">
        <v>160</v>
      </c>
      <c r="W10" s="181">
        <v>80</v>
      </c>
      <c r="X10" s="188">
        <v>78</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3</v>
      </c>
      <c r="AP10" s="155">
        <v>3</v>
      </c>
      <c r="AQ10" s="154">
        <v>3</v>
      </c>
      <c r="AR10" s="155">
        <v>3</v>
      </c>
      <c r="AS10" s="339" t="s">
        <v>785</v>
      </c>
      <c r="AT10" s="192"/>
      <c r="AU10" s="200"/>
      <c r="AV10" s="192"/>
      <c r="AW10" s="200"/>
      <c r="AX10" s="192"/>
      <c r="AY10" s="128">
        <f t="shared" ref="AY10:BC10" si="0">IF(ISNUMBER(S10),S10," - ")</f>
        <v>184</v>
      </c>
      <c r="AZ10" s="129">
        <f t="shared" si="0"/>
        <v>156</v>
      </c>
      <c r="BA10" s="129">
        <f t="shared" si="0"/>
        <v>180</v>
      </c>
      <c r="BB10" s="129">
        <f t="shared" si="0"/>
        <v>160</v>
      </c>
      <c r="BC10" s="125">
        <f t="shared" si="0"/>
        <v>80</v>
      </c>
      <c r="BD10" s="126">
        <f>IF(ISNUMBER(BA10/AZ10),BA10/AZ10," - ")</f>
        <v>1.1538461538461537</v>
      </c>
      <c r="BE10" s="127">
        <f>IF(ISNUMBER(BB10/BA10),BB10/BA10, " - ")</f>
        <v>0.88888888888888884</v>
      </c>
      <c r="BF10" s="127">
        <f>IF(ISNUMBER(BC10/BA10),BC10/BA10, " - ")</f>
        <v>0.44444444444444442</v>
      </c>
      <c r="BG10" s="196">
        <f>IF(ISNUMBER((AY10+AZ10)/BA10),(AY10+AZ10)/BA10," - ")</f>
        <v>1.8888888888888888</v>
      </c>
      <c r="BH10" s="155">
        <v>3</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759</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v>1269</v>
      </c>
      <c r="J11" s="183">
        <v>874</v>
      </c>
      <c r="K11" s="183">
        <v>1040</v>
      </c>
      <c r="L11" s="183">
        <v>1103</v>
      </c>
      <c r="M11" s="183">
        <v>526</v>
      </c>
      <c r="N11" s="183">
        <v>457</v>
      </c>
      <c r="O11" s="181">
        <v>398</v>
      </c>
      <c r="P11" s="183">
        <v>140</v>
      </c>
      <c r="Q11" s="183">
        <v>191</v>
      </c>
      <c r="R11" s="183">
        <v>1381</v>
      </c>
      <c r="S11" s="183">
        <v>1397</v>
      </c>
      <c r="T11" s="183">
        <v>1071</v>
      </c>
      <c r="U11" s="183">
        <v>1182</v>
      </c>
      <c r="V11" s="183">
        <v>1284</v>
      </c>
      <c r="W11" s="183">
        <v>536</v>
      </c>
      <c r="X11" s="189">
        <v>469</v>
      </c>
      <c r="Y11" s="191">
        <v>118</v>
      </c>
      <c r="Z11" s="181">
        <v>176</v>
      </c>
      <c r="AA11" s="181">
        <v>174</v>
      </c>
      <c r="AB11" s="181">
        <v>120</v>
      </c>
      <c r="AC11" s="183">
        <v>0</v>
      </c>
      <c r="AD11" s="183">
        <v>0</v>
      </c>
      <c r="AE11" s="183">
        <v>0</v>
      </c>
      <c r="AF11" s="189">
        <v>0</v>
      </c>
      <c r="AG11" s="202">
        <v>93</v>
      </c>
      <c r="AH11" s="183">
        <v>192</v>
      </c>
      <c r="AI11" s="183">
        <v>181</v>
      </c>
      <c r="AJ11" s="203">
        <v>104</v>
      </c>
      <c r="AK11" s="182">
        <v>0</v>
      </c>
      <c r="AL11" s="183">
        <v>0</v>
      </c>
      <c r="AM11" s="183">
        <v>0</v>
      </c>
      <c r="AN11" s="189">
        <v>0</v>
      </c>
      <c r="AO11" s="259">
        <v>4</v>
      </c>
      <c r="AP11" s="155">
        <v>4</v>
      </c>
      <c r="AQ11" s="155">
        <v>4</v>
      </c>
      <c r="AR11" s="154">
        <v>4</v>
      </c>
      <c r="AS11" s="340" t="s">
        <v>793</v>
      </c>
      <c r="AT11" s="203"/>
      <c r="AU11" s="202"/>
      <c r="AV11" s="203"/>
      <c r="AW11" s="202"/>
      <c r="AX11" s="203"/>
      <c r="AY11" s="126">
        <f t="shared" ref="AY11:BB12" si="1">IF(ISNUMBER(IF(J_V="SI",S11,S11+AG11)),IF(J_V="SI",S11,S11+AG11)," - ")</f>
        <v>1490</v>
      </c>
      <c r="AZ11" s="127">
        <f t="shared" si="1"/>
        <v>1263</v>
      </c>
      <c r="BA11" s="127">
        <f t="shared" si="1"/>
        <v>1363</v>
      </c>
      <c r="BB11" s="127">
        <f t="shared" si="1"/>
        <v>1388</v>
      </c>
      <c r="BC11" s="125">
        <f>IF(ISNUMBER(X11),X11," - ")</f>
        <v>469</v>
      </c>
      <c r="BD11" s="126">
        <f t="shared" ref="BD11:BD12" si="2">IF(ISNUMBER(BA11/AZ11),BA11/AZ11," - ")</f>
        <v>1.0791765637371338</v>
      </c>
      <c r="BE11" s="127">
        <f t="shared" ref="BE11:BE12" si="3">IF(ISNUMBER(BB11/BA11),BB11/BA11, " - ")</f>
        <v>1.0183418928833456</v>
      </c>
      <c r="BF11" s="127">
        <f t="shared" ref="BF11:BF12" si="4">IF(ISNUMBER(BC11/BA11),BC11/BA11, " - ")</f>
        <v>0.34409391049156274</v>
      </c>
      <c r="BG11" s="196">
        <f t="shared" ref="BG11:BG12" si="5">IF(ISNUMBER((AY11+AZ11)/BA11),(AY11+AZ11)/BA11," - ")</f>
        <v>2.019809244314013</v>
      </c>
      <c r="BH11" s="155">
        <v>4</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859</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t="s">
        <v>798</v>
      </c>
      <c r="J12" s="183" t="s">
        <v>792</v>
      </c>
      <c r="K12" s="183" t="s">
        <v>839</v>
      </c>
      <c r="L12" s="183" t="s">
        <v>802</v>
      </c>
      <c r="M12" s="183" t="s">
        <v>490</v>
      </c>
      <c r="N12" s="183" t="s">
        <v>505</v>
      </c>
      <c r="O12" s="181" t="s">
        <v>224</v>
      </c>
      <c r="P12" s="183" t="s">
        <v>39</v>
      </c>
      <c r="Q12" s="183" t="s">
        <v>40</v>
      </c>
      <c r="R12" s="183" t="s">
        <v>91</v>
      </c>
      <c r="S12" s="183"/>
      <c r="T12" s="183"/>
      <c r="U12" s="183"/>
      <c r="V12" s="183"/>
      <c r="W12" s="183"/>
      <c r="X12" s="189"/>
      <c r="Y12" s="191" t="s">
        <v>134</v>
      </c>
      <c r="Z12" s="181" t="s">
        <v>135</v>
      </c>
      <c r="AA12" s="181" t="s">
        <v>136</v>
      </c>
      <c r="AB12" s="181" t="s">
        <v>137</v>
      </c>
      <c r="AC12" s="183"/>
      <c r="AD12" s="183"/>
      <c r="AE12" s="183"/>
      <c r="AF12" s="189"/>
      <c r="AG12" s="202"/>
      <c r="AH12" s="183"/>
      <c r="AI12" s="183"/>
      <c r="AJ12" s="203"/>
      <c r="AK12" s="182"/>
      <c r="AL12" s="183"/>
      <c r="AM12" s="183"/>
      <c r="AN12" s="189"/>
      <c r="AO12" s="259">
        <v>0</v>
      </c>
      <c r="AP12" s="155">
        <v>0</v>
      </c>
      <c r="AQ12" s="155">
        <v>0</v>
      </c>
      <c r="AR12" s="154">
        <v>0</v>
      </c>
      <c r="AS12" s="340" t="s">
        <v>794</v>
      </c>
      <c r="AT12" s="203"/>
      <c r="AU12" s="202"/>
      <c r="AV12" s="203"/>
      <c r="AW12" s="202"/>
      <c r="AX12" s="203"/>
      <c r="AY12" s="126">
        <f t="shared" si="1"/>
        <v>0</v>
      </c>
      <c r="AZ12" s="127">
        <f t="shared" si="1"/>
        <v>0</v>
      </c>
      <c r="BA12" s="127">
        <f t="shared" si="1"/>
        <v>0</v>
      </c>
      <c r="BB12" s="127">
        <f t="shared" si="1"/>
        <v>0</v>
      </c>
      <c r="BC12" s="125" t="str">
        <f>IF(ISNUMBER(X12),X12," - ")</f>
        <v xml:space="preserve"> - </v>
      </c>
      <c r="BD12" s="126" t="str">
        <f t="shared" si="2"/>
        <v xml:space="preserve"> - </v>
      </c>
      <c r="BE12" s="127" t="str">
        <f t="shared" si="3"/>
        <v xml:space="preserve"> - </v>
      </c>
      <c r="BF12" s="127" t="str">
        <f t="shared" si="4"/>
        <v xml:space="preserve"> - </v>
      </c>
      <c r="BG12" s="196" t="str">
        <f t="shared" si="5"/>
        <v xml:space="preserve"> - </v>
      </c>
      <c r="BH12" s="155">
        <v>0</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860</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24092</v>
      </c>
      <c r="J13" s="184">
        <f t="shared" si="6"/>
        <v>12760</v>
      </c>
      <c r="K13" s="184">
        <f t="shared" si="6"/>
        <v>12508</v>
      </c>
      <c r="L13" s="184">
        <f t="shared" si="6"/>
        <v>24483</v>
      </c>
      <c r="M13" s="184">
        <f t="shared" si="6"/>
        <v>4918</v>
      </c>
      <c r="N13" s="184">
        <f t="shared" si="6"/>
        <v>4515</v>
      </c>
      <c r="O13" s="184">
        <f t="shared" si="6"/>
        <v>4817</v>
      </c>
      <c r="P13" s="184">
        <f t="shared" si="6"/>
        <v>3300</v>
      </c>
      <c r="Q13" s="184">
        <f t="shared" si="6"/>
        <v>1946</v>
      </c>
      <c r="R13" s="184">
        <f t="shared" si="6"/>
        <v>37551</v>
      </c>
      <c r="S13" s="184">
        <f t="shared" si="6"/>
        <v>24865</v>
      </c>
      <c r="T13" s="184">
        <f t="shared" si="6"/>
        <v>14400</v>
      </c>
      <c r="U13" s="184">
        <f t="shared" si="6"/>
        <v>12115</v>
      </c>
      <c r="V13" s="184">
        <f t="shared" si="6"/>
        <v>27148</v>
      </c>
      <c r="W13" s="184">
        <f t="shared" si="6"/>
        <v>4190</v>
      </c>
      <c r="X13" s="184">
        <f t="shared" si="6"/>
        <v>4422</v>
      </c>
      <c r="Y13" s="184">
        <f t="shared" si="6"/>
        <v>376</v>
      </c>
      <c r="Z13" s="184">
        <f t="shared" si="6"/>
        <v>773</v>
      </c>
      <c r="AA13" s="184">
        <f t="shared" si="6"/>
        <v>574</v>
      </c>
      <c r="AB13" s="184">
        <f t="shared" si="6"/>
        <v>575</v>
      </c>
      <c r="AC13" s="184">
        <f t="shared" si="6"/>
        <v>0</v>
      </c>
      <c r="AD13" s="184">
        <f t="shared" si="6"/>
        <v>0</v>
      </c>
      <c r="AE13" s="184">
        <f t="shared" si="6"/>
        <v>0</v>
      </c>
      <c r="AF13" s="184">
        <f>SUBTOTAL(9,AF9:AF12)</f>
        <v>0</v>
      </c>
      <c r="AG13" s="184">
        <f t="shared" ref="AG13:AT13" si="7">SUBTOTAL(9,AG8:AG12)</f>
        <v>534</v>
      </c>
      <c r="AH13" s="184">
        <f t="shared" si="7"/>
        <v>657</v>
      </c>
      <c r="AI13" s="184">
        <f t="shared" si="7"/>
        <v>733</v>
      </c>
      <c r="AJ13" s="184">
        <f t="shared" si="7"/>
        <v>458</v>
      </c>
      <c r="AK13" s="184">
        <f t="shared" si="7"/>
        <v>0</v>
      </c>
      <c r="AL13" s="184">
        <f t="shared" si="7"/>
        <v>0</v>
      </c>
      <c r="AM13" s="184">
        <f t="shared" si="7"/>
        <v>0</v>
      </c>
      <c r="AN13" s="184">
        <f t="shared" si="7"/>
        <v>0</v>
      </c>
      <c r="AO13" s="184">
        <f t="shared" si="7"/>
        <v>26</v>
      </c>
      <c r="AP13" s="184">
        <f t="shared" si="7"/>
        <v>26</v>
      </c>
      <c r="AQ13" s="184">
        <f t="shared" si="7"/>
        <v>26</v>
      </c>
      <c r="AR13" s="184">
        <f t="shared" si="7"/>
        <v>26</v>
      </c>
      <c r="AS13" s="184">
        <f t="shared" si="7"/>
        <v>0</v>
      </c>
      <c r="AT13" s="184">
        <f t="shared" si="7"/>
        <v>0</v>
      </c>
      <c r="AU13" s="204"/>
      <c r="AV13" s="132"/>
      <c r="AW13" s="204"/>
      <c r="AX13" s="132"/>
      <c r="AY13" s="184">
        <f>SUBTOTAL(9,AY8:AY12)</f>
        <v>25399</v>
      </c>
      <c r="AZ13" s="184">
        <f>SUBTOTAL(9,AZ8:AZ12)</f>
        <v>15057</v>
      </c>
      <c r="BA13" s="184">
        <f>SUBTOTAL(9,BA8:BA12)</f>
        <v>12848</v>
      </c>
      <c r="BB13" s="184">
        <f>SUBTOTAL(9,BB8:BB12)</f>
        <v>27606</v>
      </c>
      <c r="BC13" s="184">
        <f>SUBTOTAL(9,BC8:BC12)</f>
        <v>4424</v>
      </c>
      <c r="BD13" s="205">
        <f>IF(ISNUMBER(BA13/AZ13),BA13/AZ13," - ")</f>
        <v>0.8532908281862257</v>
      </c>
      <c r="BE13" s="206">
        <f>IF(ISNUMBER(BB13/BA13),BB13/BA13, " - ")</f>
        <v>2.1486612702366128</v>
      </c>
      <c r="BF13" s="206">
        <f>IF(ISNUMBER(BC13/BA13),BC13/BA13, " - ")</f>
        <v>0.34433374844333747</v>
      </c>
      <c r="BG13" s="207">
        <f>IF(ISNUMBER((AY13+AZ13)/BA13),(AY13+AZ13)/BA13," - ")</f>
        <v>3.1488169364881693</v>
      </c>
      <c r="BH13" s="140">
        <f>SUBTOTAL(9,BH8:BH12)</f>
        <v>26</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v>6032</v>
      </c>
      <c r="J15" s="183">
        <v>11516</v>
      </c>
      <c r="K15" s="183">
        <v>11989</v>
      </c>
      <c r="L15" s="183">
        <v>5764</v>
      </c>
      <c r="M15" s="183">
        <v>1100</v>
      </c>
      <c r="N15" s="183">
        <v>7630</v>
      </c>
      <c r="O15" s="181">
        <v>369</v>
      </c>
      <c r="P15" s="183">
        <v>536</v>
      </c>
      <c r="Q15" s="183">
        <v>561</v>
      </c>
      <c r="R15" s="183">
        <v>1190</v>
      </c>
      <c r="S15" s="183">
        <v>6074</v>
      </c>
      <c r="T15" s="183">
        <v>12494</v>
      </c>
      <c r="U15" s="183">
        <v>12703</v>
      </c>
      <c r="V15" s="183">
        <v>6154</v>
      </c>
      <c r="W15" s="183">
        <v>1316</v>
      </c>
      <c r="X15" s="189">
        <v>8152</v>
      </c>
      <c r="Y15" s="202">
        <v>0</v>
      </c>
      <c r="Z15" s="183">
        <v>0</v>
      </c>
      <c r="AA15" s="183">
        <v>0</v>
      </c>
      <c r="AB15" s="183">
        <v>0</v>
      </c>
      <c r="AC15" s="183">
        <v>12</v>
      </c>
      <c r="AD15" s="183">
        <v>549</v>
      </c>
      <c r="AE15" s="183">
        <v>555</v>
      </c>
      <c r="AF15" s="189">
        <v>6</v>
      </c>
      <c r="AG15" s="202">
        <v>0</v>
      </c>
      <c r="AH15" s="183">
        <v>0</v>
      </c>
      <c r="AI15" s="183">
        <v>0</v>
      </c>
      <c r="AJ15" s="203">
        <v>0</v>
      </c>
      <c r="AK15" s="182">
        <v>11</v>
      </c>
      <c r="AL15" s="183">
        <v>572</v>
      </c>
      <c r="AM15" s="183">
        <v>578</v>
      </c>
      <c r="AN15" s="189">
        <v>5</v>
      </c>
      <c r="AO15" s="259">
        <v>12</v>
      </c>
      <c r="AP15" s="155">
        <v>12</v>
      </c>
      <c r="AQ15" s="155">
        <v>12</v>
      </c>
      <c r="AR15" s="155">
        <v>12</v>
      </c>
      <c r="AS15" s="340" t="s">
        <v>522</v>
      </c>
      <c r="AT15" s="203" t="s">
        <v>326</v>
      </c>
      <c r="AU15" s="202"/>
      <c r="AV15" s="203"/>
      <c r="AW15" s="202"/>
      <c r="AX15" s="203"/>
      <c r="AY15" s="128">
        <f t="shared" ref="AY15:BB16" si="9">IF(ISNUMBER(IF(D_I="SI",S15,S15+AK15)),IF(D_I="SI",S15,S15+AK15)," - ")</f>
        <v>6074</v>
      </c>
      <c r="AZ15" s="129">
        <f t="shared" si="9"/>
        <v>12494</v>
      </c>
      <c r="BA15" s="129">
        <f t="shared" si="9"/>
        <v>12703</v>
      </c>
      <c r="BB15" s="129">
        <f t="shared" si="9"/>
        <v>6154</v>
      </c>
      <c r="BC15" s="125">
        <f>IF(ISNUMBER(W15),W15," - ")</f>
        <v>1316</v>
      </c>
      <c r="BD15" s="126">
        <f>IF(ISNUMBER(BA15/AZ15),BA15/AZ15," - ")</f>
        <v>1.0167280294541381</v>
      </c>
      <c r="BE15" s="127">
        <f>IF(ISNUMBER(BB15/BA15),BB15/BA15, " - ")</f>
        <v>0.48445249153743208</v>
      </c>
      <c r="BF15" s="127">
        <f>IF(ISNUMBER(BC15/BA15),BC15/BA15, " - ")</f>
        <v>0.10359757537589545</v>
      </c>
      <c r="BG15" s="196">
        <f t="shared" ref="BG15:BG16" si="10">IF(ISNUMBER((AY15+AZ15)/BA15),(AY15+AZ15)/BA15," - ")</f>
        <v>1.4617019601668897</v>
      </c>
      <c r="BH15" s="155">
        <v>12</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795</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t="s">
        <v>488</v>
      </c>
      <c r="J16" s="183" t="s">
        <v>484</v>
      </c>
      <c r="K16" s="183" t="s">
        <v>485</v>
      </c>
      <c r="L16" s="183" t="s">
        <v>486</v>
      </c>
      <c r="M16" s="183" t="s">
        <v>491</v>
      </c>
      <c r="N16" s="183" t="s">
        <v>150</v>
      </c>
      <c r="O16" s="181" t="s">
        <v>225</v>
      </c>
      <c r="P16" s="183" t="s">
        <v>470</v>
      </c>
      <c r="Q16" s="183" t="s">
        <v>471</v>
      </c>
      <c r="R16" s="183" t="s">
        <v>472</v>
      </c>
      <c r="S16" s="183"/>
      <c r="T16" s="183"/>
      <c r="U16" s="183"/>
      <c r="V16" s="183"/>
      <c r="W16" s="183"/>
      <c r="X16" s="189"/>
      <c r="Y16" s="202"/>
      <c r="Z16" s="183"/>
      <c r="AA16" s="183"/>
      <c r="AB16" s="183"/>
      <c r="AC16" s="183" t="s">
        <v>44</v>
      </c>
      <c r="AD16" s="183" t="s">
        <v>48</v>
      </c>
      <c r="AE16" s="183" t="s">
        <v>49</v>
      </c>
      <c r="AF16" s="189" t="s">
        <v>50</v>
      </c>
      <c r="AG16" s="202"/>
      <c r="AH16" s="183"/>
      <c r="AI16" s="183"/>
      <c r="AJ16" s="203"/>
      <c r="AK16" s="182"/>
      <c r="AL16" s="183"/>
      <c r="AM16" s="183"/>
      <c r="AN16" s="189"/>
      <c r="AO16" s="259">
        <v>0</v>
      </c>
      <c r="AP16" s="155">
        <v>0</v>
      </c>
      <c r="AQ16" s="155">
        <v>0</v>
      </c>
      <c r="AR16" s="155">
        <v>0</v>
      </c>
      <c r="AS16" s="340" t="s">
        <v>487</v>
      </c>
      <c r="AT16" s="203"/>
      <c r="AU16" s="202"/>
      <c r="AV16" s="203"/>
      <c r="AW16" s="202"/>
      <c r="AX16" s="203"/>
      <c r="AY16" s="126" t="str">
        <f t="shared" si="9"/>
        <v xml:space="preserve"> - </v>
      </c>
      <c r="AZ16" s="127" t="str">
        <f t="shared" si="9"/>
        <v xml:space="preserve"> - </v>
      </c>
      <c r="BA16" s="127" t="str">
        <f t="shared" si="9"/>
        <v xml:space="preserve"> - </v>
      </c>
      <c r="BB16" s="127" t="str">
        <f t="shared" si="9"/>
        <v xml:space="preserve"> - </v>
      </c>
      <c r="BC16" s="125" t="str">
        <f>IF(ISNUMBER(W16),W16," - ")</f>
        <v xml:space="preserve"> - </v>
      </c>
      <c r="BD16" s="126" t="str">
        <f t="shared" ref="BD16" si="11">IF(ISNUMBER(BA16/AZ16),BA16/AZ16," - ")</f>
        <v xml:space="preserve"> - </v>
      </c>
      <c r="BE16" s="127" t="str">
        <f t="shared" ref="BE16" si="12">IF(ISNUMBER(BB16/BA16),BB16/BA16, " - ")</f>
        <v xml:space="preserve"> - </v>
      </c>
      <c r="BF16" s="127" t="str">
        <f t="shared" ref="BF16" si="13">IF(ISNUMBER(BC16/BA16),BC16/BA16, " - ")</f>
        <v xml:space="preserve"> - </v>
      </c>
      <c r="BG16" s="196" t="str">
        <f t="shared" si="10"/>
        <v xml:space="preserve"> - </v>
      </c>
      <c r="BH16" s="155">
        <v>0</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765</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410</v>
      </c>
      <c r="J17" s="183">
        <v>1256</v>
      </c>
      <c r="K17" s="183">
        <v>1391</v>
      </c>
      <c r="L17" s="183">
        <v>318</v>
      </c>
      <c r="M17" s="183">
        <v>114</v>
      </c>
      <c r="N17" s="183">
        <v>798</v>
      </c>
      <c r="O17" s="183">
        <v>25</v>
      </c>
      <c r="P17" s="183">
        <v>13</v>
      </c>
      <c r="Q17" s="183">
        <v>23</v>
      </c>
      <c r="R17" s="183">
        <v>31</v>
      </c>
      <c r="S17" s="183">
        <v>452</v>
      </c>
      <c r="T17" s="183">
        <v>1592</v>
      </c>
      <c r="U17" s="183">
        <v>1643</v>
      </c>
      <c r="V17" s="183">
        <v>419</v>
      </c>
      <c r="W17" s="183">
        <v>133</v>
      </c>
      <c r="X17" s="189">
        <v>751</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3</v>
      </c>
      <c r="AP17" s="155">
        <v>3</v>
      </c>
      <c r="AQ17" s="154">
        <v>3</v>
      </c>
      <c r="AR17" s="155">
        <v>3</v>
      </c>
      <c r="AS17" s="339" t="s">
        <v>784</v>
      </c>
      <c r="AT17" s="209"/>
      <c r="AU17" s="200"/>
      <c r="AV17" s="209"/>
      <c r="AW17" s="200"/>
      <c r="AX17" s="209"/>
      <c r="AY17" s="128">
        <f t="shared" ref="AY17:BB17" si="14">IF(ISNUMBER(S17),S17," - ")</f>
        <v>452</v>
      </c>
      <c r="AZ17" s="129">
        <f t="shared" si="14"/>
        <v>1592</v>
      </c>
      <c r="BA17" s="129">
        <f t="shared" si="14"/>
        <v>1643</v>
      </c>
      <c r="BB17" s="129">
        <f t="shared" si="14"/>
        <v>419</v>
      </c>
      <c r="BC17" s="125">
        <f>IF(ISNUMBER(W17),W17," - ")</f>
        <v>133</v>
      </c>
      <c r="BD17" s="126">
        <f>IF(ISNUMBER(BA17/AZ17),BA17/AZ17," - ")</f>
        <v>1.0320351758793971</v>
      </c>
      <c r="BE17" s="127">
        <f>IF(ISNUMBER(BB17/BA17),BB17/BA17, " - ")</f>
        <v>0.2550213024954352</v>
      </c>
      <c r="BF17" s="127">
        <f>IF(ISNUMBER(BC17/BA17),BC17/BA17, " - ")</f>
        <v>8.0949482653682292E-2</v>
      </c>
      <c r="BG17" s="196">
        <f>IF(ISNUMBER((AY17+AZ17)/BA17),(AY17+AZ17)/BA17," - ")</f>
        <v>1.2440657334144858</v>
      </c>
      <c r="BH17" s="155">
        <v>3</v>
      </c>
      <c r="BI17" s="155"/>
      <c r="BJ17" s="200"/>
      <c r="BK17" s="154"/>
      <c r="BL17" s="154"/>
      <c r="BM17" s="154">
        <v>1800</v>
      </c>
      <c r="BN17" s="154"/>
      <c r="BO17" s="154"/>
      <c r="BP17" s="154"/>
      <c r="BQ17" s="154"/>
      <c r="BR17" s="154"/>
      <c r="BS17" s="154"/>
      <c r="BT17" s="154"/>
      <c r="BU17" s="154"/>
      <c r="BV17" s="154"/>
      <c r="BW17" s="154"/>
      <c r="BX17" s="154"/>
      <c r="BY17" s="174" t="s">
        <v>724</v>
      </c>
      <c r="BZ17" s="174" t="s">
        <v>725</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766</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6442</v>
      </c>
      <c r="J18" s="184">
        <f t="shared" si="15"/>
        <v>12772</v>
      </c>
      <c r="K18" s="184">
        <f t="shared" si="15"/>
        <v>13380</v>
      </c>
      <c r="L18" s="184">
        <f t="shared" si="15"/>
        <v>6082</v>
      </c>
      <c r="M18" s="184">
        <f t="shared" si="15"/>
        <v>1214</v>
      </c>
      <c r="N18" s="184">
        <f t="shared" si="15"/>
        <v>8428</v>
      </c>
      <c r="O18" s="184">
        <f t="shared" si="15"/>
        <v>394</v>
      </c>
      <c r="P18" s="184">
        <f t="shared" si="15"/>
        <v>549</v>
      </c>
      <c r="Q18" s="184">
        <f t="shared" si="15"/>
        <v>584</v>
      </c>
      <c r="R18" s="184">
        <f t="shared" si="15"/>
        <v>1221</v>
      </c>
      <c r="S18" s="184">
        <f t="shared" si="15"/>
        <v>6526</v>
      </c>
      <c r="T18" s="184">
        <f t="shared" si="15"/>
        <v>14086</v>
      </c>
      <c r="U18" s="184">
        <f t="shared" si="15"/>
        <v>14346</v>
      </c>
      <c r="V18" s="184">
        <f t="shared" si="15"/>
        <v>6573</v>
      </c>
      <c r="W18" s="184">
        <f t="shared" si="15"/>
        <v>1449</v>
      </c>
      <c r="X18" s="184">
        <f t="shared" si="15"/>
        <v>8903</v>
      </c>
      <c r="Y18" s="184">
        <f t="shared" si="15"/>
        <v>0</v>
      </c>
      <c r="Z18" s="184">
        <f t="shared" si="15"/>
        <v>0</v>
      </c>
      <c r="AA18" s="184">
        <f t="shared" si="15"/>
        <v>0</v>
      </c>
      <c r="AB18" s="184">
        <f t="shared" si="15"/>
        <v>0</v>
      </c>
      <c r="AC18" s="184">
        <f t="shared" si="15"/>
        <v>12</v>
      </c>
      <c r="AD18" s="184">
        <f t="shared" si="15"/>
        <v>549</v>
      </c>
      <c r="AE18" s="184">
        <f t="shared" si="15"/>
        <v>555</v>
      </c>
      <c r="AF18" s="184">
        <f t="shared" si="15"/>
        <v>6</v>
      </c>
      <c r="AG18" s="184">
        <f t="shared" si="15"/>
        <v>0</v>
      </c>
      <c r="AH18" s="184">
        <f t="shared" si="15"/>
        <v>0</v>
      </c>
      <c r="AI18" s="184">
        <f t="shared" si="15"/>
        <v>0</v>
      </c>
      <c r="AJ18" s="184">
        <f t="shared" si="15"/>
        <v>0</v>
      </c>
      <c r="AK18" s="184">
        <f t="shared" si="15"/>
        <v>11</v>
      </c>
      <c r="AL18" s="184">
        <f t="shared" si="15"/>
        <v>572</v>
      </c>
      <c r="AM18" s="184">
        <f t="shared" si="15"/>
        <v>578</v>
      </c>
      <c r="AN18" s="184">
        <f t="shared" si="15"/>
        <v>5</v>
      </c>
      <c r="AO18" s="184">
        <f t="shared" si="15"/>
        <v>15</v>
      </c>
      <c r="AP18" s="184">
        <f t="shared" si="15"/>
        <v>15</v>
      </c>
      <c r="AQ18" s="184">
        <f t="shared" si="15"/>
        <v>15</v>
      </c>
      <c r="AR18" s="184">
        <f t="shared" si="15"/>
        <v>15</v>
      </c>
      <c r="AS18" s="184">
        <f t="shared" si="15"/>
        <v>0</v>
      </c>
      <c r="AT18" s="184">
        <f t="shared" si="15"/>
        <v>0</v>
      </c>
      <c r="AU18" s="204"/>
      <c r="AV18" s="132"/>
      <c r="AW18" s="204"/>
      <c r="AX18" s="132"/>
      <c r="AY18" s="184">
        <f>SUBTOTAL(9,AY14:AY17)</f>
        <v>6526</v>
      </c>
      <c r="AZ18" s="184">
        <f>SUBTOTAL(9,AZ14:AZ17)</f>
        <v>14086</v>
      </c>
      <c r="BA18" s="184">
        <f>SUBTOTAL(9,BA14:BA17)</f>
        <v>14346</v>
      </c>
      <c r="BB18" s="184">
        <f>SUBTOTAL(9,BB14:BB17)</f>
        <v>6573</v>
      </c>
      <c r="BC18" s="184">
        <f>SUBTOTAL(9,BC14:BC17)</f>
        <v>1449</v>
      </c>
      <c r="BD18" s="205">
        <f>IF(ISNUMBER(BA18/AZ18),BA18/AZ18," - ")</f>
        <v>1.0184580434473947</v>
      </c>
      <c r="BE18" s="206">
        <f>IF(ISNUMBER(BB18/BA18),BB18/BA18, " - ")</f>
        <v>0.45817649519029696</v>
      </c>
      <c r="BF18" s="206">
        <f>IF(ISNUMBER(BC18/BA18),BC18/BA18, " - ")</f>
        <v>0.10100376411543287</v>
      </c>
      <c r="BG18" s="207">
        <f>IF(ISNUMBER((AY18+AZ18)/BA18),(AY18+AZ18)/BA18," - ")</f>
        <v>1.436776801895999</v>
      </c>
      <c r="BH18" s="184">
        <f>SUBTOTAL(9,BH14:BH17)</f>
        <v>15</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30534</v>
      </c>
      <c r="J19" s="134">
        <f t="shared" si="18"/>
        <v>25532</v>
      </c>
      <c r="K19" s="134">
        <f t="shared" si="18"/>
        <v>25888</v>
      </c>
      <c r="L19" s="134">
        <f t="shared" si="18"/>
        <v>30565</v>
      </c>
      <c r="M19" s="134">
        <f t="shared" si="18"/>
        <v>6132</v>
      </c>
      <c r="N19" s="134">
        <f t="shared" si="18"/>
        <v>12943</v>
      </c>
      <c r="O19" s="134">
        <f t="shared" si="18"/>
        <v>5211</v>
      </c>
      <c r="P19" s="134">
        <f t="shared" si="18"/>
        <v>3849</v>
      </c>
      <c r="Q19" s="134">
        <f t="shared" si="18"/>
        <v>2530</v>
      </c>
      <c r="R19" s="134">
        <f t="shared" si="18"/>
        <v>38772</v>
      </c>
      <c r="S19" s="134">
        <f t="shared" si="18"/>
        <v>31391</v>
      </c>
      <c r="T19" s="134">
        <f t="shared" si="18"/>
        <v>28486</v>
      </c>
      <c r="U19" s="134">
        <f t="shared" si="18"/>
        <v>26461</v>
      </c>
      <c r="V19" s="134">
        <f t="shared" si="18"/>
        <v>33721</v>
      </c>
      <c r="W19" s="134">
        <f t="shared" si="18"/>
        <v>5639</v>
      </c>
      <c r="X19" s="134">
        <f t="shared" si="18"/>
        <v>13325</v>
      </c>
      <c r="Y19" s="134">
        <f t="shared" si="18"/>
        <v>376</v>
      </c>
      <c r="Z19" s="134">
        <f t="shared" si="18"/>
        <v>773</v>
      </c>
      <c r="AA19" s="134">
        <f t="shared" si="18"/>
        <v>574</v>
      </c>
      <c r="AB19" s="134">
        <f t="shared" si="18"/>
        <v>575</v>
      </c>
      <c r="AC19" s="134">
        <f t="shared" si="18"/>
        <v>12</v>
      </c>
      <c r="AD19" s="134">
        <f t="shared" si="18"/>
        <v>549</v>
      </c>
      <c r="AE19" s="134">
        <f t="shared" si="18"/>
        <v>555</v>
      </c>
      <c r="AF19" s="134">
        <f t="shared" si="18"/>
        <v>6</v>
      </c>
      <c r="AG19" s="134">
        <f t="shared" si="18"/>
        <v>534</v>
      </c>
      <c r="AH19" s="134">
        <f t="shared" si="18"/>
        <v>657</v>
      </c>
      <c r="AI19" s="134">
        <f t="shared" si="18"/>
        <v>733</v>
      </c>
      <c r="AJ19" s="134">
        <f t="shared" si="18"/>
        <v>458</v>
      </c>
      <c r="AK19" s="134">
        <f t="shared" si="18"/>
        <v>11</v>
      </c>
      <c r="AL19" s="134">
        <f t="shared" si="18"/>
        <v>572</v>
      </c>
      <c r="AM19" s="134">
        <f t="shared" si="18"/>
        <v>578</v>
      </c>
      <c r="AN19" s="210">
        <f t="shared" si="18"/>
        <v>5</v>
      </c>
      <c r="AO19" s="211">
        <v>38</v>
      </c>
      <c r="AP19" s="211">
        <v>38</v>
      </c>
      <c r="AQ19" s="211">
        <v>38</v>
      </c>
      <c r="AR19" s="211">
        <v>38</v>
      </c>
      <c r="AS19" s="153">
        <f t="shared" si="18"/>
        <v>0</v>
      </c>
      <c r="AT19" s="153">
        <f t="shared" si="18"/>
        <v>0</v>
      </c>
      <c r="AU19" s="211"/>
      <c r="AV19" s="212"/>
      <c r="AW19" s="211"/>
      <c r="AX19" s="212"/>
      <c r="AY19" s="133">
        <f>SUBTOTAL(9,AY9:AY18)</f>
        <v>31925</v>
      </c>
      <c r="AZ19" s="134">
        <f>SUBTOTAL(9,AZ9:AZ18)</f>
        <v>29143</v>
      </c>
      <c r="BA19" s="134">
        <f>SUBTOTAL(9,BA9:BA18)</f>
        <v>27194</v>
      </c>
      <c r="BB19" s="134">
        <f>SUBTOTAL(9,BB9:BB18)</f>
        <v>34179</v>
      </c>
      <c r="BC19" s="135">
        <f>SUBTOTAL(9,BC9:BC18)</f>
        <v>5873</v>
      </c>
      <c r="BD19" s="213">
        <f>IF(ISNUMBER(BA19/AZ19),BA19/AZ19," - ")</f>
        <v>0.93312287684864292</v>
      </c>
      <c r="BE19" s="210">
        <f>IF(ISNUMBER(BB19/BA19),BB19/BA19, " - ")</f>
        <v>1.2568581304699566</v>
      </c>
      <c r="BF19" s="210">
        <f>IF(ISNUMBER(BC19/BA19),BC19/BA19, " - ")</f>
        <v>0.2159667573729499</v>
      </c>
      <c r="BG19" s="135">
        <f>IF(ISNUMBER((AY19+AZ19)/BA19),(AY19+AZ19)/BA19," - ")</f>
        <v>2.2456424211223065</v>
      </c>
      <c r="BH19" s="211">
        <f>SUBTOTAL(9,BH9:BH18)</f>
        <v>41</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VaVlQJNmROnTRshJZwFVLILnaGna0IzGSWGBujviazFqhSiHCBdj+2lNy5ZxroTpRDjyRQetutYYJ6GM1/rd9g==" saltValue="rH/rXlfS3TigKnEC17BAGA=="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BY35" sqref="BY35"/>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ARAGON</v>
      </c>
    </row>
    <row r="4" spans="1:156" ht="13.5" thickBot="1">
      <c r="A4" t="str">
        <f>Criterios!A10</f>
        <v>Provincias</v>
      </c>
      <c r="B4" t="str">
        <f>Criterios!B10</f>
        <v>ZARAGOZA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615</v>
      </c>
      <c r="ED5" s="1465" t="s">
        <v>585</v>
      </c>
      <c r="EE5" s="1465" t="s">
        <v>618</v>
      </c>
      <c r="EF5" s="1465" t="s">
        <v>619</v>
      </c>
      <c r="EG5" s="1468" t="s">
        <v>620</v>
      </c>
      <c r="EH5" s="1468" t="s">
        <v>621</v>
      </c>
      <c r="EI5" s="1468" t="s">
        <v>587</v>
      </c>
      <c r="EJ5" s="1468" t="s">
        <v>588</v>
      </c>
      <c r="EK5" s="1489" t="s">
        <v>665</v>
      </c>
      <c r="EL5" s="1480" t="s">
        <v>681</v>
      </c>
      <c r="EM5" s="1481"/>
      <c r="EN5" s="1482"/>
      <c r="EO5" s="1381" t="s">
        <v>737</v>
      </c>
      <c r="EP5" s="1381" t="s">
        <v>739</v>
      </c>
      <c r="EQ5" s="1381" t="s">
        <v>740</v>
      </c>
      <c r="ER5" s="1381" t="s">
        <v>745</v>
      </c>
      <c r="ES5" s="1381" t="s">
        <v>750</v>
      </c>
      <c r="ET5" s="1474" t="s">
        <v>810</v>
      </c>
      <c r="EU5" s="1474" t="s">
        <v>811</v>
      </c>
      <c r="EV5" s="1384" t="s">
        <v>827</v>
      </c>
      <c r="EW5" s="1468" t="s">
        <v>830</v>
      </c>
      <c r="EX5" s="1375" t="s">
        <v>844</v>
      </c>
      <c r="EY5" s="1363" t="s">
        <v>849</v>
      </c>
      <c r="EZ5" s="1360" t="s">
        <v>891</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736</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682</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0"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470" t="s">
        <v>683</v>
      </c>
      <c r="EM8" s="470" t="s">
        <v>684</v>
      </c>
      <c r="EN8" s="470" t="s">
        <v>685</v>
      </c>
      <c r="EO8" s="50" t="s">
        <v>738</v>
      </c>
      <c r="EP8" s="50" t="s">
        <v>743</v>
      </c>
      <c r="EQ8" s="50" t="s">
        <v>744</v>
      </c>
      <c r="ER8" s="470">
        <v>148</v>
      </c>
      <c r="ES8" s="470" t="s">
        <v>751</v>
      </c>
      <c r="ET8" s="1141" t="s">
        <v>812</v>
      </c>
      <c r="EU8" s="1141" t="s">
        <v>813</v>
      </c>
      <c r="EV8" s="1141" t="s">
        <v>821</v>
      </c>
      <c r="EW8" s="470" t="s">
        <v>829</v>
      </c>
      <c r="EX8" s="470" t="s">
        <v>843</v>
      </c>
      <c r="EY8" s="470" t="s">
        <v>848</v>
      </c>
      <c r="EZ8" s="470" t="s">
        <v>892</v>
      </c>
    </row>
    <row r="9" spans="1:156" ht="14.25" customHeight="1">
      <c r="A9" s="20" t="s">
        <v>45</v>
      </c>
      <c r="B9" s="21" t="s">
        <v>402</v>
      </c>
      <c r="C9" s="22" t="s">
        <v>3</v>
      </c>
      <c r="D9" s="23" t="s">
        <v>20</v>
      </c>
      <c r="E9" s="21" t="s">
        <v>21</v>
      </c>
      <c r="F9" s="21">
        <v>32</v>
      </c>
      <c r="G9" s="6"/>
      <c r="H9" s="136" t="s">
        <v>245</v>
      </c>
      <c r="I9" s="1179" t="s">
        <v>875</v>
      </c>
      <c r="J9" s="1178" t="s">
        <v>876</v>
      </c>
      <c r="K9" s="1178" t="s">
        <v>877</v>
      </c>
      <c r="L9" s="1178" t="s">
        <v>878</v>
      </c>
      <c r="M9" s="57" t="s">
        <v>847</v>
      </c>
      <c r="N9" s="57" t="s">
        <v>850</v>
      </c>
      <c r="O9" s="57" t="s">
        <v>323</v>
      </c>
      <c r="P9" s="57" t="s">
        <v>371</v>
      </c>
      <c r="Q9" s="57" t="s">
        <v>372</v>
      </c>
      <c r="R9" s="57" t="s">
        <v>373</v>
      </c>
      <c r="S9" s="57"/>
      <c r="T9" s="57"/>
      <c r="U9" s="57"/>
      <c r="V9" s="57"/>
      <c r="W9" s="57"/>
      <c r="X9" s="61"/>
      <c r="Y9" s="1182" t="s">
        <v>872</v>
      </c>
      <c r="Z9" s="1178" t="s">
        <v>871</v>
      </c>
      <c r="AA9" s="1178" t="s">
        <v>873</v>
      </c>
      <c r="AB9" s="1178" t="s">
        <v>874</v>
      </c>
      <c r="AC9" s="57"/>
      <c r="AD9" s="57"/>
      <c r="AE9" s="57"/>
      <c r="AF9" s="61"/>
      <c r="AG9" s="62"/>
      <c r="AH9" s="57"/>
      <c r="AI9" s="57"/>
      <c r="AJ9" s="63"/>
      <c r="AK9" s="58"/>
      <c r="AL9" s="57"/>
      <c r="AM9" s="57"/>
      <c r="AN9" s="61"/>
      <c r="AO9" s="64"/>
      <c r="AP9" s="64"/>
      <c r="AQ9" s="64"/>
      <c r="AR9" s="60"/>
      <c r="AS9" s="317" t="s">
        <v>855</v>
      </c>
      <c r="AT9" s="195"/>
      <c r="AU9" s="317" t="s">
        <v>800</v>
      </c>
      <c r="AV9" s="195"/>
      <c r="AW9" s="317" t="s">
        <v>803</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884</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885</v>
      </c>
      <c r="CR9" s="289" t="s">
        <v>482</v>
      </c>
      <c r="CS9" s="156"/>
      <c r="CT9" s="156"/>
      <c r="CU9" s="156"/>
      <c r="CV9" s="156" t="s">
        <v>504</v>
      </c>
      <c r="CW9" s="156" t="s">
        <v>411</v>
      </c>
      <c r="CX9" s="156" t="s">
        <v>343</v>
      </c>
      <c r="CY9" s="156" t="s">
        <v>439</v>
      </c>
      <c r="CZ9" s="156" t="s">
        <v>440</v>
      </c>
      <c r="DA9" s="156" t="s">
        <v>441</v>
      </c>
      <c r="DB9" s="317" t="s">
        <v>856</v>
      </c>
      <c r="DC9" s="317" t="s">
        <v>857</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672</v>
      </c>
      <c r="DV9" s="156" t="s">
        <v>667</v>
      </c>
      <c r="DW9" s="156" t="s">
        <v>668</v>
      </c>
      <c r="DX9" s="156" t="s">
        <v>669</v>
      </c>
      <c r="DY9" s="156" t="s">
        <v>670</v>
      </c>
      <c r="DZ9" s="156"/>
      <c r="EA9" s="156"/>
      <c r="EB9" s="156"/>
      <c r="EC9" s="156"/>
      <c r="ED9" s="156"/>
      <c r="EE9" s="156"/>
      <c r="EF9" s="156"/>
      <c r="EG9" s="156"/>
      <c r="EH9" s="156"/>
      <c r="EI9" s="156"/>
      <c r="EJ9" s="156"/>
      <c r="EK9" s="156"/>
      <c r="EL9" s="289" t="s">
        <v>788</v>
      </c>
      <c r="EM9" s="289" t="s">
        <v>789</v>
      </c>
      <c r="EN9" s="156" t="s">
        <v>787</v>
      </c>
      <c r="EO9" s="989" t="s">
        <v>858</v>
      </c>
      <c r="EP9" s="989" t="s">
        <v>863</v>
      </c>
      <c r="EQ9" s="989" t="s">
        <v>865</v>
      </c>
      <c r="ER9" s="1000">
        <v>1200</v>
      </c>
      <c r="ES9" s="997"/>
      <c r="ET9" s="1142"/>
      <c r="EU9" s="1142"/>
      <c r="EV9" s="156" t="s">
        <v>824</v>
      </c>
      <c r="EW9" s="156"/>
      <c r="EX9" s="156"/>
      <c r="EY9" s="156"/>
      <c r="EZ9" s="156"/>
    </row>
    <row r="10" spans="1:156" ht="14.25" customHeight="1">
      <c r="A10" s="137" t="s">
        <v>143</v>
      </c>
      <c r="B10" s="21" t="s">
        <v>402</v>
      </c>
      <c r="C10" s="22" t="s">
        <v>3</v>
      </c>
      <c r="D10" s="23" t="s">
        <v>82</v>
      </c>
      <c r="E10" s="21" t="s">
        <v>82</v>
      </c>
      <c r="F10" s="21" t="s">
        <v>138</v>
      </c>
      <c r="G10" s="6"/>
      <c r="H10" s="136"/>
      <c r="I10" s="1180" t="s">
        <v>905</v>
      </c>
      <c r="J10" s="1181" t="s">
        <v>898</v>
      </c>
      <c r="K10" s="1181" t="s">
        <v>901</v>
      </c>
      <c r="L10" s="1181" t="s">
        <v>906</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752</v>
      </c>
      <c r="AT10" s="63"/>
      <c r="AU10" s="148" t="s">
        <v>753</v>
      </c>
      <c r="AV10" s="63"/>
      <c r="AW10" s="148"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896</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897</v>
      </c>
      <c r="CR10" s="154"/>
      <c r="CS10" s="154"/>
      <c r="CT10" s="156"/>
      <c r="CU10" s="156"/>
      <c r="CV10" s="156" t="s">
        <v>315</v>
      </c>
      <c r="CW10" s="156" t="s">
        <v>339</v>
      </c>
      <c r="CX10" s="156" t="s">
        <v>342</v>
      </c>
      <c r="CY10" s="156" t="s">
        <v>509</v>
      </c>
      <c r="CZ10" s="156" t="s">
        <v>510</v>
      </c>
      <c r="DA10" s="156" t="s">
        <v>511</v>
      </c>
      <c r="DB10" s="320" t="s">
        <v>898</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605</v>
      </c>
      <c r="DV10" s="289" t="s">
        <v>719</v>
      </c>
      <c r="DW10" s="289" t="s">
        <v>716</v>
      </c>
      <c r="DX10" s="289" t="s">
        <v>717</v>
      </c>
      <c r="DY10" s="289" t="s">
        <v>718</v>
      </c>
      <c r="DZ10" s="289"/>
      <c r="EA10" s="289"/>
      <c r="EB10" s="289"/>
      <c r="EC10" s="289"/>
      <c r="ED10" s="289"/>
      <c r="EE10" s="289"/>
      <c r="EF10" s="289"/>
      <c r="EG10" s="289"/>
      <c r="EH10" s="289"/>
      <c r="EI10" s="289"/>
      <c r="EJ10" s="289"/>
      <c r="EK10" s="289"/>
      <c r="EL10" s="289"/>
      <c r="EM10" s="289"/>
      <c r="EN10" s="289"/>
      <c r="EO10" s="320" t="s">
        <v>759</v>
      </c>
      <c r="EP10" s="320" t="s">
        <v>760</v>
      </c>
      <c r="EQ10" s="320" t="s">
        <v>761</v>
      </c>
      <c r="ER10" s="1001">
        <v>1600</v>
      </c>
      <c r="ES10" s="339"/>
      <c r="ET10" s="1142"/>
      <c r="EU10" s="1142"/>
      <c r="EV10" s="156" t="s">
        <v>826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879</v>
      </c>
      <c r="J11" s="1177" t="s">
        <v>880</v>
      </c>
      <c r="K11" s="1177" t="s">
        <v>881</v>
      </c>
      <c r="L11" s="1177" t="s">
        <v>882</v>
      </c>
      <c r="M11" s="26" t="s">
        <v>490</v>
      </c>
      <c r="N11" s="26" t="s">
        <v>38</v>
      </c>
      <c r="O11" s="57" t="s">
        <v>224</v>
      </c>
      <c r="P11" s="26" t="s">
        <v>39</v>
      </c>
      <c r="Q11" s="26" t="s">
        <v>40</v>
      </c>
      <c r="R11" s="26" t="s">
        <v>91</v>
      </c>
      <c r="S11" s="26"/>
      <c r="T11" s="26"/>
      <c r="U11" s="26"/>
      <c r="V11" s="26"/>
      <c r="W11" s="26"/>
      <c r="X11" s="52"/>
      <c r="Y11" s="1182" t="s">
        <v>872</v>
      </c>
      <c r="Z11" s="1178" t="s">
        <v>883</v>
      </c>
      <c r="AA11" s="1178" t="s">
        <v>873</v>
      </c>
      <c r="AB11" s="1178"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862</v>
      </c>
      <c r="BZ11" s="156" t="s">
        <v>889</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840</v>
      </c>
      <c r="CR11" s="156" t="s">
        <v>890</v>
      </c>
      <c r="CS11" s="157"/>
      <c r="CT11" s="156"/>
      <c r="CU11" s="156"/>
      <c r="CV11" s="156" t="s">
        <v>504</v>
      </c>
      <c r="CW11" s="156" t="s">
        <v>336</v>
      </c>
      <c r="CX11" s="156" t="s">
        <v>343</v>
      </c>
      <c r="CY11" s="156" t="s">
        <v>439</v>
      </c>
      <c r="CZ11" s="156" t="s">
        <v>440</v>
      </c>
      <c r="DA11" s="156" t="s">
        <v>441</v>
      </c>
      <c r="DB11" s="147" t="s">
        <v>851</v>
      </c>
      <c r="DC11" s="147" t="s">
        <v>852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672</v>
      </c>
      <c r="DV11" s="289" t="s">
        <v>667</v>
      </c>
      <c r="DW11" s="289" t="s">
        <v>668</v>
      </c>
      <c r="DX11" s="289" t="s">
        <v>669</v>
      </c>
      <c r="DY11" s="289" t="s">
        <v>670</v>
      </c>
      <c r="DZ11" s="289"/>
      <c r="EA11" s="289"/>
      <c r="EB11" s="289"/>
      <c r="EC11" s="289"/>
      <c r="ED11" s="289"/>
      <c r="EE11" s="289"/>
      <c r="EF11" s="289"/>
      <c r="EG11" s="289"/>
      <c r="EH11" s="289"/>
      <c r="EI11" s="289"/>
      <c r="EJ11" s="289"/>
      <c r="EK11" s="289"/>
      <c r="EL11" s="289"/>
      <c r="EM11" s="289"/>
      <c r="EN11" s="289"/>
      <c r="EO11" s="988" t="s">
        <v>859</v>
      </c>
      <c r="EP11" s="988" t="s">
        <v>841</v>
      </c>
      <c r="EQ11" s="988" t="s">
        <v>842</v>
      </c>
      <c r="ER11" s="1002">
        <v>1323</v>
      </c>
      <c r="ES11" s="998"/>
      <c r="ET11" s="1142"/>
      <c r="EU11" s="1142"/>
      <c r="EV11" s="156" t="s">
        <v>823</v>
      </c>
      <c r="EW11" s="289"/>
      <c r="EX11" s="289"/>
      <c r="EY11" s="289"/>
      <c r="EZ11" s="289"/>
    </row>
    <row r="12" spans="1:156" ht="14.25" customHeight="1">
      <c r="A12" s="20" t="s">
        <v>404</v>
      </c>
      <c r="B12" s="21" t="s">
        <v>402</v>
      </c>
      <c r="C12" s="22" t="s">
        <v>3</v>
      </c>
      <c r="D12" s="23" t="s">
        <v>20</v>
      </c>
      <c r="E12" s="21" t="s">
        <v>20</v>
      </c>
      <c r="F12" s="21">
        <v>31</v>
      </c>
      <c r="G12" s="6"/>
      <c r="H12" s="29"/>
      <c r="I12" s="1176" t="s">
        <v>908</v>
      </c>
      <c r="J12" s="1177" t="s">
        <v>899</v>
      </c>
      <c r="K12" s="1177" t="s">
        <v>902</v>
      </c>
      <c r="L12" s="1177" t="s">
        <v>907</v>
      </c>
      <c r="M12" s="26" t="s">
        <v>846</v>
      </c>
      <c r="N12" s="26" t="s">
        <v>38</v>
      </c>
      <c r="O12" s="57" t="s">
        <v>224</v>
      </c>
      <c r="P12" s="26" t="s">
        <v>381</v>
      </c>
      <c r="Q12" s="26" t="s">
        <v>382</v>
      </c>
      <c r="R12" s="26" t="s">
        <v>383</v>
      </c>
      <c r="S12" s="26"/>
      <c r="T12" s="26"/>
      <c r="U12" s="26"/>
      <c r="V12" s="26"/>
      <c r="W12" s="26"/>
      <c r="X12" s="52"/>
      <c r="Y12" s="1182" t="s">
        <v>872</v>
      </c>
      <c r="Z12" s="1178" t="s">
        <v>871</v>
      </c>
      <c r="AA12" s="1178" t="s">
        <v>873</v>
      </c>
      <c r="AB12" s="1178"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904</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886</v>
      </c>
      <c r="CR12" s="289"/>
      <c r="CS12" s="157"/>
      <c r="CT12" s="156"/>
      <c r="CU12" s="156"/>
      <c r="CV12" s="156" t="s">
        <v>504</v>
      </c>
      <c r="CW12" s="156" t="s">
        <v>336</v>
      </c>
      <c r="CX12" s="156" t="s">
        <v>343</v>
      </c>
      <c r="CY12" s="156" t="s">
        <v>439</v>
      </c>
      <c r="CZ12" s="156" t="s">
        <v>440</v>
      </c>
      <c r="DA12" s="156" t="s">
        <v>441</v>
      </c>
      <c r="DB12" s="317" t="s">
        <v>853</v>
      </c>
      <c r="DC12" s="317" t="s">
        <v>854</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672</v>
      </c>
      <c r="DV12" s="289" t="s">
        <v>667</v>
      </c>
      <c r="DW12" s="289" t="s">
        <v>668</v>
      </c>
      <c r="DX12" s="289" t="s">
        <v>669</v>
      </c>
      <c r="DY12" s="289" t="s">
        <v>670</v>
      </c>
      <c r="DZ12" s="289"/>
      <c r="EA12" s="289"/>
      <c r="EB12" s="289"/>
      <c r="EC12" s="289"/>
      <c r="ED12" s="289"/>
      <c r="EE12" s="289"/>
      <c r="EF12" s="289"/>
      <c r="EG12" s="289"/>
      <c r="EH12" s="289"/>
      <c r="EI12" s="289"/>
      <c r="EJ12" s="289"/>
      <c r="EK12" s="289"/>
      <c r="EL12" s="289" t="s">
        <v>788</v>
      </c>
      <c r="EM12" s="289" t="s">
        <v>789</v>
      </c>
      <c r="EN12" s="156" t="s">
        <v>787</v>
      </c>
      <c r="EO12" s="989" t="s">
        <v>861</v>
      </c>
      <c r="EP12" s="989" t="s">
        <v>864</v>
      </c>
      <c r="EQ12" s="989" t="s">
        <v>866</v>
      </c>
      <c r="ER12" s="1000">
        <v>680</v>
      </c>
      <c r="ES12" s="999"/>
      <c r="ET12" s="1142"/>
      <c r="EU12" s="1142"/>
      <c r="EV12" s="156" t="s">
        <v>823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755</v>
      </c>
      <c r="BZ15" s="214" t="s">
        <v>887</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888</v>
      </c>
      <c r="CS15" s="155" t="s">
        <v>389</v>
      </c>
      <c r="CT15" s="156"/>
      <c r="CU15" s="156"/>
      <c r="CV15" s="156" t="s">
        <v>374</v>
      </c>
      <c r="CW15" s="156" t="s">
        <v>337</v>
      </c>
      <c r="CX15" s="156" t="s">
        <v>159</v>
      </c>
      <c r="CY15" s="156"/>
      <c r="CZ15" s="156"/>
      <c r="DA15" s="156"/>
      <c r="DB15" s="147" t="s">
        <v>768</v>
      </c>
      <c r="DC15" s="147" t="s">
        <v>769</v>
      </c>
      <c r="DD15" s="156"/>
      <c r="DE15" s="156" t="s">
        <v>519</v>
      </c>
      <c r="DF15" s="156" t="s">
        <v>410</v>
      </c>
      <c r="DG15" s="156"/>
      <c r="DH15" s="155" t="s">
        <v>427</v>
      </c>
      <c r="DI15" s="155" t="s">
        <v>428</v>
      </c>
      <c r="DJ15" s="155" t="s">
        <v>429</v>
      </c>
      <c r="DK15" s="155"/>
      <c r="DL15" s="155"/>
      <c r="DM15" s="155"/>
      <c r="DN15" s="155"/>
      <c r="DO15" s="155"/>
      <c r="DP15" s="155"/>
      <c r="DQ15" s="155"/>
      <c r="DR15" s="155"/>
      <c r="DS15" s="155"/>
      <c r="DT15" s="155"/>
      <c r="DU15" s="155" t="s">
        <v>604</v>
      </c>
      <c r="DV15" s="155"/>
      <c r="DW15" s="155"/>
      <c r="DX15" s="155"/>
      <c r="DY15" s="155"/>
      <c r="DZ15" s="155"/>
      <c r="EA15" s="155"/>
      <c r="EB15" s="155" t="s">
        <v>735</v>
      </c>
      <c r="EC15" s="155" t="s">
        <v>612</v>
      </c>
      <c r="ED15" s="155"/>
      <c r="EE15" s="155">
        <v>6000</v>
      </c>
      <c r="EF15" s="155">
        <v>650</v>
      </c>
      <c r="EG15" s="155"/>
      <c r="EH15" s="155"/>
      <c r="EI15" s="155" t="s">
        <v>613</v>
      </c>
      <c r="EJ15" s="155"/>
      <c r="EK15" s="155"/>
      <c r="EL15" s="155"/>
      <c r="EM15" s="155"/>
      <c r="EN15" s="155"/>
      <c r="EO15" s="988" t="s">
        <v>797</v>
      </c>
      <c r="EP15" s="988" t="s">
        <v>799</v>
      </c>
      <c r="EQ15" s="988" t="s">
        <v>805</v>
      </c>
      <c r="ER15" s="1003" t="s">
        <v>758</v>
      </c>
      <c r="ES15" s="998"/>
      <c r="ET15" s="1142"/>
      <c r="EU15" s="1142"/>
      <c r="EV15" s="156" t="s">
        <v>822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523</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772</v>
      </c>
      <c r="DC16" s="147" t="s">
        <v>773</v>
      </c>
      <c r="DD16" s="156"/>
      <c r="DE16" s="156" t="s">
        <v>519</v>
      </c>
      <c r="DF16" s="156" t="s">
        <v>410</v>
      </c>
      <c r="DG16" s="156"/>
      <c r="DH16" s="155" t="s">
        <v>427</v>
      </c>
      <c r="DI16" s="155" t="s">
        <v>428</v>
      </c>
      <c r="DJ16" s="155" t="s">
        <v>429</v>
      </c>
      <c r="DK16" s="155"/>
      <c r="DL16" s="155"/>
      <c r="DM16" s="155"/>
      <c r="DN16" s="155"/>
      <c r="DO16" s="155"/>
      <c r="DP16" s="155"/>
      <c r="DQ16" s="155"/>
      <c r="DR16" s="155"/>
      <c r="DS16" s="155"/>
      <c r="DT16" s="155"/>
      <c r="DU16" s="155" t="s">
        <v>604</v>
      </c>
      <c r="DV16" s="155"/>
      <c r="DW16" s="155"/>
      <c r="DX16" s="155"/>
      <c r="DY16" s="155"/>
      <c r="DZ16" s="155"/>
      <c r="EA16" s="155"/>
      <c r="EB16" s="155"/>
      <c r="EC16" s="155"/>
      <c r="ED16" s="155"/>
      <c r="EE16" s="155"/>
      <c r="EF16" s="155"/>
      <c r="EG16" s="155"/>
      <c r="EH16" s="155"/>
      <c r="EI16" s="155" t="s">
        <v>613</v>
      </c>
      <c r="EJ16" s="155"/>
      <c r="EK16" s="155"/>
      <c r="EL16" s="155"/>
      <c r="EM16" s="155"/>
      <c r="EN16" s="155"/>
      <c r="EO16" s="988" t="s">
        <v>774</v>
      </c>
      <c r="EP16" s="988" t="s">
        <v>778</v>
      </c>
      <c r="EQ16" s="988" t="s">
        <v>783</v>
      </c>
      <c r="ER16" s="1002">
        <v>1000</v>
      </c>
      <c r="ES16" s="998"/>
      <c r="ET16" s="1142"/>
      <c r="EU16" s="1142"/>
      <c r="EV16" s="156" t="s">
        <v>822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524</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724</v>
      </c>
      <c r="BZ17" s="174" t="s">
        <v>734</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733</v>
      </c>
      <c r="CR17" s="154"/>
      <c r="CS17" s="154" t="s">
        <v>617</v>
      </c>
      <c r="CT17" s="156"/>
      <c r="CU17" s="156"/>
      <c r="CV17" s="156" t="s">
        <v>314</v>
      </c>
      <c r="CW17" s="156" t="s">
        <v>338</v>
      </c>
      <c r="CX17" s="156" t="s">
        <v>341</v>
      </c>
      <c r="CY17" s="156"/>
      <c r="CZ17" s="156"/>
      <c r="DA17" s="156"/>
      <c r="DB17" s="320" t="s">
        <v>766</v>
      </c>
      <c r="DC17" s="326"/>
      <c r="DD17" s="156"/>
      <c r="DE17" s="327" t="s">
        <v>518</v>
      </c>
      <c r="DF17" s="327" t="s">
        <v>145</v>
      </c>
      <c r="DG17" s="156"/>
      <c r="DH17" s="154" t="s">
        <v>435</v>
      </c>
      <c r="DI17" s="154" t="s">
        <v>433</v>
      </c>
      <c r="DJ17" s="154" t="s">
        <v>434</v>
      </c>
      <c r="DK17" s="154"/>
      <c r="DL17" s="154"/>
      <c r="DM17" s="155"/>
      <c r="DN17" s="155"/>
      <c r="DO17" s="155"/>
      <c r="DP17" s="155"/>
      <c r="DQ17" s="155"/>
      <c r="DR17" s="155"/>
      <c r="DS17" s="155"/>
      <c r="DT17" s="155"/>
      <c r="DU17" s="155" t="s">
        <v>605</v>
      </c>
      <c r="DV17" s="155"/>
      <c r="DW17" s="155"/>
      <c r="DX17" s="155"/>
      <c r="DY17" s="155"/>
      <c r="DZ17" s="155"/>
      <c r="EA17" s="155"/>
      <c r="EB17" s="155" t="s">
        <v>611</v>
      </c>
      <c r="EC17" s="155" t="s">
        <v>614</v>
      </c>
      <c r="ED17" s="155"/>
      <c r="EE17" s="155">
        <v>1200</v>
      </c>
      <c r="EF17" s="155">
        <v>600</v>
      </c>
      <c r="EG17" s="155"/>
      <c r="EH17" s="155"/>
      <c r="EI17" s="155" t="s">
        <v>616</v>
      </c>
      <c r="EJ17" s="155"/>
      <c r="EK17" s="155"/>
      <c r="EL17" s="155"/>
      <c r="EM17" s="155"/>
      <c r="EN17" s="155"/>
      <c r="EO17" s="320" t="s">
        <v>766</v>
      </c>
      <c r="EP17" s="320" t="s">
        <v>146</v>
      </c>
      <c r="EQ17" s="320" t="s">
        <v>779</v>
      </c>
      <c r="ER17" s="1001">
        <v>1600</v>
      </c>
      <c r="ES17" s="339"/>
      <c r="ET17" s="1142"/>
      <c r="EU17" s="1142"/>
      <c r="EV17" s="156" t="s">
        <v>825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0LgEqsiy/2K2ZhPP4nLBCKJJY3NFw0Y1RBYI0PFKkA6bO2/n4O2IUPSWRPBfBkiQAa77MmubE+X5lfLgFRI7xA==" saltValue="RWp/aaKCtrAp82IPQv593Q=="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J1" zoomScale="85" zoomScaleNormal="85" workbookViewId="0">
      <selection activeCell="V9" sqref="V9"/>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ARAGON</v>
      </c>
    </row>
    <row r="2" spans="1:78" ht="16.5" customHeight="1">
      <c r="C2" s="488" t="str">
        <f>Criterios!A10 &amp;"  "&amp;Criterios!B10 &amp; "  " &amp; IF(NOT(ISBLANK(Criterios!A11)),Criterios!A11 &amp;"  "&amp;Criterios!B11,"")</f>
        <v>Provincias  ZARAGOZA  Resumenes por Partidos Judiciales  ZARAGOZA</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660</v>
      </c>
      <c r="L5" s="1492" t="s">
        <v>557</v>
      </c>
      <c r="M5" s="1492" t="s">
        <v>525</v>
      </c>
      <c r="N5" s="1492" t="s">
        <v>661</v>
      </c>
      <c r="O5" s="1495" t="s">
        <v>583</v>
      </c>
      <c r="P5" s="1492" t="s">
        <v>679</v>
      </c>
      <c r="Q5" s="1492" t="s">
        <v>674</v>
      </c>
      <c r="R5" s="1492" t="s">
        <v>168</v>
      </c>
      <c r="S5" s="1498" t="s">
        <v>671</v>
      </c>
      <c r="T5" s="1498" t="s">
        <v>673</v>
      </c>
      <c r="U5" s="1492" t="s">
        <v>586</v>
      </c>
      <c r="V5" s="1498" t="s">
        <v>558</v>
      </c>
      <c r="W5" s="1492" t="s">
        <v>762</v>
      </c>
      <c r="X5" s="1492" t="s">
        <v>763</v>
      </c>
      <c r="Y5" s="1512" t="s">
        <v>662</v>
      </c>
      <c r="Z5" s="1509" t="s">
        <v>608</v>
      </c>
      <c r="AA5" s="1527" t="s">
        <v>559</v>
      </c>
      <c r="AB5" s="1509" t="s">
        <v>560</v>
      </c>
      <c r="AC5" s="1509" t="s">
        <v>561</v>
      </c>
      <c r="AD5" s="1530" t="s">
        <v>663</v>
      </c>
      <c r="AE5" s="1530" t="s">
        <v>790</v>
      </c>
      <c r="AF5" s="1492" t="s">
        <v>675</v>
      </c>
      <c r="AG5" s="1492" t="s">
        <v>526</v>
      </c>
      <c r="AH5" s="1492" t="s">
        <v>664</v>
      </c>
      <c r="AI5" s="1492" t="s">
        <v>179</v>
      </c>
      <c r="AJ5" s="1492" t="s">
        <v>729</v>
      </c>
      <c r="AK5" s="1492" t="s">
        <v>527</v>
      </c>
      <c r="AL5" s="1492" t="s">
        <v>528</v>
      </c>
      <c r="AM5" s="1492" t="s">
        <v>680</v>
      </c>
      <c r="AN5" s="1492" t="s">
        <v>529</v>
      </c>
      <c r="AO5" s="1492" t="s">
        <v>530</v>
      </c>
      <c r="AP5" s="1492" t="s">
        <v>531</v>
      </c>
      <c r="AQ5" s="1492" t="s">
        <v>532</v>
      </c>
      <c r="AR5" s="1492" t="s">
        <v>665</v>
      </c>
      <c r="AS5" s="1492" t="s">
        <v>182</v>
      </c>
      <c r="AT5" s="1515" t="s">
        <v>180</v>
      </c>
      <c r="AU5" s="1492" t="s">
        <v>676</v>
      </c>
      <c r="AV5" s="1518" t="s">
        <v>677</v>
      </c>
      <c r="AW5" s="1521" t="s">
        <v>534</v>
      </c>
      <c r="AX5" s="1492" t="s">
        <v>535</v>
      </c>
      <c r="AY5" s="1492" t="s">
        <v>606</v>
      </c>
      <c r="AZ5" s="1524" t="s">
        <v>607</v>
      </c>
      <c r="BA5" s="1492" t="s">
        <v>563</v>
      </c>
      <c r="BB5" s="1518" t="s">
        <v>564</v>
      </c>
      <c r="BC5" s="1521" t="s">
        <v>183</v>
      </c>
      <c r="BD5" s="1492" t="s">
        <v>565</v>
      </c>
      <c r="BE5" s="1492" t="s">
        <v>247</v>
      </c>
      <c r="BF5" s="1492" t="s">
        <v>248</v>
      </c>
      <c r="BG5" s="1492" t="s">
        <v>249</v>
      </c>
      <c r="BH5" s="1492" t="s">
        <v>566</v>
      </c>
      <c r="BI5" s="1492" t="s">
        <v>250</v>
      </c>
      <c r="BJ5" s="1492" t="s">
        <v>567</v>
      </c>
      <c r="BK5" s="1492" t="s">
        <v>581</v>
      </c>
      <c r="BL5" s="1492" t="s">
        <v>568</v>
      </c>
      <c r="BM5" s="1492" t="s">
        <v>569</v>
      </c>
      <c r="BN5" s="1492" t="s">
        <v>594</v>
      </c>
      <c r="BO5" s="1492" t="s">
        <v>587</v>
      </c>
      <c r="BP5" s="1492" t="s">
        <v>828</v>
      </c>
      <c r="BQ5" s="1492" t="s">
        <v>831</v>
      </c>
      <c r="BR5" s="1492" t="s">
        <v>833</v>
      </c>
      <c r="BS5" s="1492" t="s">
        <v>588</v>
      </c>
      <c r="BT5" s="1492" t="s">
        <v>570</v>
      </c>
      <c r="BU5" s="1492" t="s">
        <v>533</v>
      </c>
      <c r="BV5" s="1506" t="s">
        <v>764</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19</v>
      </c>
      <c r="B9" s="501" t="s">
        <v>246</v>
      </c>
      <c r="C9" s="160" t="str">
        <f>Datos!A9</f>
        <v xml:space="preserve">Jdos. 1ª Instancia   </v>
      </c>
      <c r="D9" s="502"/>
      <c r="E9" s="260">
        <f>IF(ISNUMBER(Datos!AQ9),Datos!AQ9," - ")</f>
        <v>19</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f>IF(ISNUMBER(Datos!Z9),Datos!Z9," - ")</f>
        <v>597</v>
      </c>
      <c r="O9" s="334"/>
      <c r="P9" s="334"/>
      <c r="Q9" s="226">
        <f>IF(ISNUMBER(Datos!P9),Datos!P9,0)</f>
        <v>3127</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f>IF(ISNUMBER(Datos!Q9),Datos!Q9," - ")</f>
        <v>1725</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f>IF(ISNUMBER(Datos!AB9),Datos!AB9,"-")</f>
        <v>455</v>
      </c>
      <c r="AI9" s="334" t="str">
        <f>IF(ISNUMBER(Datos!CD9),Datos!CD9,"-")</f>
        <v>-</v>
      </c>
      <c r="AJ9" s="334" t="str">
        <f>IF(ISNUMBER(Datos!EN9),Datos!EN9," - ")</f>
        <v xml:space="preserve"> - </v>
      </c>
      <c r="AK9" s="334"/>
      <c r="AL9" s="479"/>
      <c r="AM9" s="335">
        <f>IF(ISNUMBER(Datos!R9),Datos!R9," - ")</f>
        <v>35880</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f>IF(ISNUMBER(Datos!M9),Datos!M9," - ")</f>
        <v>4343</v>
      </c>
      <c r="BD9" s="229">
        <f>IF(ISNUMBER(Datos!N9),Datos!N9," - ")</f>
        <v>3975</v>
      </c>
      <c r="BE9" s="229" t="str">
        <f>IF(ISNUMBER(Datos!BW9),Datos!BW9," - ")</f>
        <v xml:space="preserve"> - </v>
      </c>
      <c r="BF9" s="228" t="str">
        <f>IF(ISNUMBER(Datos!BX9),Datos!BX9," - ")</f>
        <v xml:space="preserve"> - </v>
      </c>
      <c r="BG9" s="243">
        <f>IF(ISNUMBER(IF(J_V="SI",Datos!K9/Datos!J9,(Datos!K9+Datos!AA9)/(Datos!J9+Datos!Z9))),IF(J_V="SI",Datos!K9/Datos!J9,(Datos!K9+Datos!AA9)/(Datos!J9+Datos!Z9))," - ")</f>
        <v>0.94888204795852238</v>
      </c>
      <c r="BH9" s="260">
        <f>IF(ISNUMBER(((IF(J_V="SI",Datos!L9/Datos!K9,(Datos!L9+Datos!AB9)/(Datos!K9+Datos!AA9)))*11)/factor_trimestre),((IF(J_V="SI",Datos!L9/Datos!K9,(Datos!L9+Datos!AB9)/(Datos!K9+Datos!AA9)))*11)/factor_trimestre," - ")</f>
        <v>6.0571160249295666</v>
      </c>
      <c r="BI9" s="243"/>
      <c r="BJ9" s="230" t="str">
        <f>IF(ISNUMBER(Datos!CI9/Datos!CJ9),Datos!CI9/Datos!CJ9," - ")</f>
        <v xml:space="preserve"> - </v>
      </c>
      <c r="BK9" s="360" t="str">
        <f>IF(ISNUMBER(Datos!CJ9),Datos!CJ9," - ")</f>
        <v xml:space="preserve"> - </v>
      </c>
      <c r="BL9" s="230" t="str">
        <f>IF(ISNUMBER((J9-AB9+L9)/(F9)),(J9-AB9+L9)/(F9)," - ")</f>
        <v xml:space="preserve"> - </v>
      </c>
      <c r="BM9" s="611">
        <f>IF(ISNUMBER((Datos!P9-Datos!Q9+Datos!DE9)/(Datos!R9-Datos!P9+Datos!Q9-Datos!DE9)),(Datos!P9-Datos!Q9+Datos!DE9)/(Datos!R9-Datos!P9+Datos!Q9-Datos!DE9)," - ")</f>
        <v>4.0663611578397818E-2</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3</v>
      </c>
      <c r="B10" s="507" t="s">
        <v>246</v>
      </c>
      <c r="C10" s="7" t="str">
        <f>Datos!A10</f>
        <v>Jdos. Violencia contra la mujer</v>
      </c>
      <c r="D10" s="508"/>
      <c r="E10" s="260">
        <f>IF(ISNUMBER(Datos!AQ10),Datos!AQ10," - ")</f>
        <v>3</v>
      </c>
      <c r="F10" s="225">
        <f>IF(ISNUMBER(Datos!L10+Datos!K10-Datos!J10),Datos!L10+Datos!K10-Datos!J10," - ")</f>
        <v>202</v>
      </c>
      <c r="G10" s="333">
        <f>IF(ISNUMBER(Datos!I10),Datos!I10," - ")</f>
        <v>202</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33</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155</v>
      </c>
      <c r="AC10" s="226">
        <f>IF(ISNUMBER(Datos!Q10),Datos!Q10," - ")</f>
        <v>30</v>
      </c>
      <c r="AD10" s="334"/>
      <c r="AE10" s="484"/>
      <c r="AF10" s="332">
        <f>IF(ISNUMBER(Datos!L10),Datos!L10,"-")</f>
        <v>186</v>
      </c>
      <c r="AG10" s="334"/>
      <c r="AH10" s="334"/>
      <c r="AI10" s="334"/>
      <c r="AJ10" s="334"/>
      <c r="AK10" s="334"/>
      <c r="AL10" s="479"/>
      <c r="AM10" s="335">
        <f>IF(ISNUMBER(Datos!R10),Datos!R10," - ")</f>
        <v>290</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49</v>
      </c>
      <c r="BD10" s="229">
        <f>IF(ISNUMBER(Datos!N10),Datos!N10," - ")</f>
        <v>83</v>
      </c>
      <c r="BE10" s="229" t="str">
        <f>IF(ISNUMBER(Datos!BW10),Datos!BW10," - ")</f>
        <v xml:space="preserve"> - </v>
      </c>
      <c r="BF10" s="228" t="str">
        <f>IF(ISNUMBER(Datos!BX10),Datos!BX10," - ")</f>
        <v xml:space="preserve"> - </v>
      </c>
      <c r="BG10" s="243">
        <f>IF(ISNUMBER(Datos!K10/Datos!J10),Datos!K10/Datos!J10," - ")</f>
        <v>1.1151079136690647</v>
      </c>
      <c r="BH10" s="260">
        <f>IF(ISNUMBER(((Datos!L10/Datos!K10)*11)/factor_trimestre),((Datos!L10/Datos!K10)*11)/factor_trimestre," - ")</f>
        <v>3.6</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1.0452961672473868E-2</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4</v>
      </c>
      <c r="B11" s="507" t="s">
        <v>246</v>
      </c>
      <c r="C11" s="7" t="str">
        <f>Datos!A11</f>
        <v xml:space="preserve">Jdos. Familia                                   </v>
      </c>
      <c r="D11" s="508"/>
      <c r="E11" s="260">
        <f>IF(ISNUMBER(Datos!AQ11),Datos!AQ11," - ")</f>
        <v>4</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f>IF(ISNUMBER(Datos!Z11),Datos!Z11," - ")</f>
        <v>176</v>
      </c>
      <c r="O11" s="334"/>
      <c r="P11" s="334"/>
      <c r="Q11" s="226">
        <f>IF(ISNUMBER(Datos!P11),Datos!P11,0)</f>
        <v>140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f>IF(ISNUMBER(Datos!Q11),Datos!Q11," - ")</f>
        <v>191</v>
      </c>
      <c r="AD11" s="334"/>
      <c r="AE11" s="484"/>
      <c r="AF11" s="332" t="str">
        <f>IF(ISNUMBER(IF(J_V="SI",Datos!L11,Datos!L11+Datos!AB11)-IF(Monitorios="SI",Datos!CD11,0)),
                          IF(J_V="SI",Datos!L11,Datos!L11+Datos!AB11)-IF(Monitorios="SI",Datos!CD11,0),
                          " - ")</f>
        <v xml:space="preserve"> - </v>
      </c>
      <c r="AG11" s="334"/>
      <c r="AH11" s="334">
        <f>IF(ISNUMBER(Datos!AB11),Datos!AB11,"-")</f>
        <v>120</v>
      </c>
      <c r="AI11" s="334"/>
      <c r="AJ11" s="334"/>
      <c r="AK11" s="334"/>
      <c r="AL11" s="479"/>
      <c r="AM11" s="335">
        <f>IF(ISNUMBER(Datos!R11),Datos!R11," - ")</f>
        <v>1381</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f>IF(ISNUMBER(Datos!M11),Datos!M11," - ")</f>
        <v>526</v>
      </c>
      <c r="BD11" s="229">
        <f>IF(ISNUMBER(Datos!N11),Datos!N11," - ")</f>
        <v>457</v>
      </c>
      <c r="BE11" s="229" t="str">
        <f>IF(ISNUMBER(Datos!BW11),Datos!BW11," - ")</f>
        <v xml:space="preserve"> - </v>
      </c>
      <c r="BF11" s="228" t="str">
        <f>IF(ISNUMBER(Datos!BX11),Datos!BX11," - ")</f>
        <v xml:space="preserve"> - </v>
      </c>
      <c r="BG11" s="243">
        <f>IF(ISNUMBER(IF(J_V="SI",Datos!K11/Datos!J11,(Datos!K11+Datos!AA11)/(Datos!J11+Datos!Z11))),IF(J_V="SI",Datos!K11/Datos!J11,(Datos!K11+Datos!AA11)/(Datos!J11+Datos!Z11))," - ")</f>
        <v>1.1561904761904762</v>
      </c>
      <c r="BH11" s="260">
        <f>IF(ISNUMBER(((IF(J_V="SI",Datos!L11/Datos!K11,(Datos!L11+Datos!AB11)/(Datos!K11+Datos!AA11)))*11)/factor_trimestre),((IF(J_V="SI",Datos!L11/Datos!K11,(Datos!L11+Datos!AB11)/(Datos!K11+Datos!AA11)))*11)/factor_trimestre," - ")</f>
        <v>3.0222405271828667</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f>IF(ISNUMBER((Datos!P11-Datos!Q11+Datos!DE11)/(Datos!R11-Datos!P11+Datos!Q11-Datos!DE11)),(Datos!P11-Datos!Q11+Datos!DE11)/(Datos!R11-Datos!P11+Datos!Q11-Datos!DE11)," - ")</f>
        <v>-3.5614525139664802E-2</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0</v>
      </c>
      <c r="B12" s="507" t="s">
        <v>246</v>
      </c>
      <c r="C12" s="7" t="str">
        <f>Datos!A12</f>
        <v xml:space="preserve">Jdos. 1ª Instª. e Instr.                        </v>
      </c>
      <c r="D12" s="508"/>
      <c r="E12" s="260">
        <f>IF(ISNUMBER(Datos!AQ12),Datos!AQ12," - ")</f>
        <v>0</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t="str">
        <f>IF(ISNUMBER(Datos!Z12),Datos!Z12," - ")</f>
        <v xml:space="preserve"> - </v>
      </c>
      <c r="O12" s="334"/>
      <c r="P12" s="334"/>
      <c r="Q12" s="226">
        <f>IF(ISNUMBER(Datos!P12),Datos!P12,0)</f>
        <v>0</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t="str">
        <f>IF(ISNUMBER(Datos!Q12),Datos!Q12," - ")</f>
        <v xml:space="preserve"> - </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t="str">
        <f>IF(ISNUMBER(Datos!AB12),Datos!AB12,"-")</f>
        <v>-</v>
      </c>
      <c r="AI12" s="334" t="str">
        <f>IF(ISNUMBER(Datos!CD12),Datos!CD12,"-")</f>
        <v>-</v>
      </c>
      <c r="AJ12" s="334" t="str">
        <f>IF(ISNUMBER(Datos!EN12),Datos!EN12," - ")</f>
        <v xml:space="preserve"> - </v>
      </c>
      <c r="AK12" s="334"/>
      <c r="AL12" s="479"/>
      <c r="AM12" s="335" t="str">
        <f>IF(ISNUMBER(Datos!R12),Datos!R12," - ")</f>
        <v xml:space="preserve"> - </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t="str">
        <f>IF(ISNUMBER(Datos!M12),Datos!M12," - ")</f>
        <v xml:space="preserve"> - </v>
      </c>
      <c r="BD12" s="229" t="str">
        <f>IF(ISNUMBER(Datos!N12),Datos!N12," - ")</f>
        <v xml:space="preserve"> - </v>
      </c>
      <c r="BE12" s="229" t="str">
        <f>IF(ISNUMBER(Datos!BW12),Datos!BW12," - ")</f>
        <v xml:space="preserve"> - </v>
      </c>
      <c r="BF12" s="228" t="str">
        <f>IF(ISNUMBER(Datos!BX12),Datos!BX12," - ")</f>
        <v xml:space="preserve"> - </v>
      </c>
      <c r="BG12" s="243" t="str">
        <f>IF(ISNUMBER(IF(J_V="SI",Datos!K12/Datos!J12,(Datos!K12+Datos!AA12)/(Datos!J12+Datos!Z12))),IF(J_V="SI",Datos!K12/Datos!J12,(Datos!K12+Datos!AA12)/(Datos!J12+Datos!Z12))," - ")</f>
        <v xml:space="preserve"> - </v>
      </c>
      <c r="BH12" s="260" t="str">
        <f>IF(ISNUMBER(((IF(J_V="SI",Datos!L12/Datos!K12,(Datos!L12+Datos!AB12)/(Datos!K12+Datos!AA12)))*11)/factor_trimestre),((IF(J_V="SI",Datos!L12/Datos!K12,(Datos!L12+Datos!AB12)/(Datos!K12+Datos!AA12)))*11)/factor_trimestre," - ")</f>
        <v xml:space="preserve"> - </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t="str">
        <f>IF(ISNUMBER((Datos!P12-Datos!Q12+Datos!DE12)/(Datos!R12-Datos!P12+Datos!Q12-Datos!DE12)),(Datos!P12-Datos!Q12+Datos!DE12)/(Datos!R12-Datos!P12+Datos!Q12-Datos!DE12)," - ")</f>
        <v xml:space="preserve"> - </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26</v>
      </c>
      <c r="F13" s="898">
        <f t="shared" si="0"/>
        <v>202</v>
      </c>
      <c r="G13" s="898">
        <f t="shared" si="0"/>
        <v>202</v>
      </c>
      <c r="H13" s="899">
        <f t="shared" si="0"/>
        <v>0</v>
      </c>
      <c r="I13" s="898">
        <f t="shared" si="0"/>
        <v>0</v>
      </c>
      <c r="J13" s="867">
        <f t="shared" si="0"/>
        <v>0</v>
      </c>
      <c r="K13" s="867">
        <f t="shared" si="0"/>
        <v>0</v>
      </c>
      <c r="L13" s="899">
        <f t="shared" si="0"/>
        <v>0</v>
      </c>
      <c r="M13" s="899">
        <f t="shared" si="0"/>
        <v>0</v>
      </c>
      <c r="N13" s="899">
        <f t="shared" si="0"/>
        <v>773</v>
      </c>
      <c r="O13" s="900">
        <f t="shared" si="0"/>
        <v>0</v>
      </c>
      <c r="P13" s="900">
        <f t="shared" si="0"/>
        <v>0</v>
      </c>
      <c r="Q13" s="899">
        <f t="shared" si="0"/>
        <v>3300</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155</v>
      </c>
      <c r="AC13" s="899">
        <f t="shared" si="1"/>
        <v>1946</v>
      </c>
      <c r="AD13" s="899">
        <f t="shared" si="1"/>
        <v>0</v>
      </c>
      <c r="AE13" s="899">
        <f t="shared" si="1"/>
        <v>0</v>
      </c>
      <c r="AF13" s="899">
        <f t="shared" si="1"/>
        <v>186</v>
      </c>
      <c r="AG13" s="899">
        <f t="shared" si="1"/>
        <v>0</v>
      </c>
      <c r="AH13" s="899">
        <f t="shared" si="1"/>
        <v>575</v>
      </c>
      <c r="AI13" s="899">
        <f t="shared" si="1"/>
        <v>0</v>
      </c>
      <c r="AJ13" s="899">
        <f t="shared" si="1"/>
        <v>0</v>
      </c>
      <c r="AK13" s="899">
        <f t="shared" si="1"/>
        <v>0</v>
      </c>
      <c r="AL13" s="899">
        <f t="shared" si="1"/>
        <v>0</v>
      </c>
      <c r="AM13" s="899">
        <f t="shared" si="1"/>
        <v>37551</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4918</v>
      </c>
      <c r="BD13" s="899">
        <f t="shared" si="1"/>
        <v>4515</v>
      </c>
      <c r="BE13" s="899">
        <f t="shared" si="1"/>
        <v>0</v>
      </c>
      <c r="BF13" s="899">
        <f t="shared" si="1"/>
        <v>0</v>
      </c>
      <c r="BG13" s="899">
        <f>IF(ISNUMBER(Datos!K13/Datos!J13),Datos!K13/Datos!J13," - ")</f>
        <v>0.9802507836990596</v>
      </c>
      <c r="BH13" s="903">
        <f>IF(ISNUMBER(((Datos!L13/Datos!K13)*11)/factor_trimestre),((Datos!L13/Datos!K13)*11)/factor_trimestre," - ")</f>
        <v>5.8721618164374805</v>
      </c>
      <c r="BI13" s="899">
        <f>IF(ISNUMBER('Resol  Asuntos'!D13/NºAsuntos!G13),'Resol  Asuntos'!D13/NºAsuntos!G13," - ")</f>
        <v>0.37593640116190186</v>
      </c>
      <c r="BJ13" s="899" t="str">
        <f>IF(ISNUMBER(Datos!CI13/Datos!CJ13),Datos!CI13/Datos!CJ13," - ")</f>
        <v xml:space="preserve"> - </v>
      </c>
      <c r="BK13" s="899">
        <f>SUBTOTAL(9,BK8:BK12)</f>
        <v>0</v>
      </c>
      <c r="BL13" s="899">
        <f>IF(ISNUMBER((I13-AB13+L13)/(F13)),(I13-AB13+L13)/(F13)," - ")</f>
        <v>-0.76732673267326734</v>
      </c>
      <c r="BM13" s="904">
        <f>SUBTOTAL(9,BM9:BM12)</f>
        <v>1.5502048111206881E-2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12</v>
      </c>
      <c r="B15" s="594" t="s">
        <v>396</v>
      </c>
      <c r="C15" s="600" t="str">
        <f>Datos!A15</f>
        <v xml:space="preserve">Jdos. Instrucción                               </v>
      </c>
      <c r="D15" s="601"/>
      <c r="E15" s="1165">
        <f>IF(ISNUMBER(Datos!AQ15),Datos!AQ15," - ")</f>
        <v>12</v>
      </c>
      <c r="F15" s="595">
        <f>IF(ISNUMBER(AF15+AB15-Datos!J15-L15),AF15+AB15-Datos!J15-L15," - ")</f>
        <v>6237</v>
      </c>
      <c r="G15" s="598">
        <f>IF(ISNUMBER(IF(D_I="SI",Datos!I15,Datos!I15+Datos!AC15)),IF(D_I="SI",Datos!I15,Datos!I15+Datos!AC15)," - ")</f>
        <v>6032</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536</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f>IF(ISNUMBER(IF(D_I="SI",Datos!K15,Datos!K15+Datos!AE15)),IF(D_I="SI",Datos!K15,Datos!K15+Datos!AE15)," - ")</f>
        <v>11989</v>
      </c>
      <c r="AC15" s="226">
        <f>IF(ISNUMBER(Datos!Q15),Datos!Q15," - ")</f>
        <v>561</v>
      </c>
      <c r="AD15" s="334"/>
      <c r="AE15" s="484"/>
      <c r="AF15" s="596">
        <f>IF(ISNUMBER(IF(D_I="SI",Datos!L15,Datos!L15+Datos!AF15)),IF(D_I="SI",Datos!L15,Datos!L15+Datos!AF15)," - ")</f>
        <v>5764</v>
      </c>
      <c r="AG15" s="334"/>
      <c r="AH15" s="334"/>
      <c r="AI15" s="334"/>
      <c r="AJ15" s="334"/>
      <c r="AK15" s="334"/>
      <c r="AL15" s="479"/>
      <c r="AM15" s="335">
        <f>IF(ISNUMBER(Datos!R15),Datos!R15," - ")</f>
        <v>1190</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f>IF(ISNUMBER(Datos!M15),Datos!M15," - ")</f>
        <v>1100</v>
      </c>
      <c r="BD15" s="229">
        <f>IF(ISNUMBER(Datos!N15),Datos!N15," - ")</f>
        <v>7630</v>
      </c>
      <c r="BE15" s="229" t="str">
        <f>IF(ISNUMBER(Datos!BW15),Datos!BW15," - ")</f>
        <v xml:space="preserve"> - </v>
      </c>
      <c r="BF15" s="228" t="str">
        <f>IF(ISNUMBER(Datos!BX15),Datos!BX15," - ")</f>
        <v xml:space="preserve"> - </v>
      </c>
      <c r="BG15" s="243">
        <f>IF(ISNUMBER(IF(D_I="SI",Datos!K15/Datos!J15,(Datos!K15+Datos!AE15)/(Datos!J15+Datos!AD15))),IF(D_I="SI",Datos!K15/Datos!J15,(Datos!K15+Datos!AE15)/(Datos!J15+Datos!AD15))," - ")</f>
        <v>1.0410732893365753</v>
      </c>
      <c r="BH15" s="260">
        <f>IF(ISNUMBER(((IF(D_I="SI",Datos!L15/Datos!K15,(Datos!L15+Datos!AF15)/(Datos!K15+Datos!AE15)))*11)/factor_trimestre),((IF(D_I="SI",Datos!L15/Datos!K15,(Datos!L15+Datos!AF15)/(Datos!K15+Datos!AE15)))*11)/factor_trimestre," - ")</f>
        <v>1.4423221286178998</v>
      </c>
      <c r="BI15" s="243">
        <f>IF(ISNUMBER('Resol  Asuntos'!D15/NºAsuntos!G15),'Resol  Asuntos'!D15/NºAsuntos!G15," - ")</f>
        <v>9.1750771540578868E-2</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0</v>
      </c>
      <c r="B16" s="594" t="s">
        <v>396</v>
      </c>
      <c r="C16" s="600" t="str">
        <f>Datos!A16</f>
        <v xml:space="preserve">Jdos. 1ª Instª. e Instr.                        </v>
      </c>
      <c r="D16" s="601"/>
      <c r="E16" s="1165">
        <f>IF(ISNUMBER(Datos!AQ16),Datos!AQ16," - ")</f>
        <v>0</v>
      </c>
      <c r="F16" s="595" t="str">
        <f>IF(ISNUMBER(AF16+AB16-Datos!J16-L16),AF16+AB16-Datos!J16-L16," - ")</f>
        <v xml:space="preserve"> - </v>
      </c>
      <c r="G16" s="598" t="str">
        <f>IF(ISNUMBER(IF(D_I="SI",Datos!I16,Datos!I16+Datos!AC16)),IF(D_I="SI",Datos!I16,Datos!I16+Datos!AC16)," - ")</f>
        <v xml:space="preserve"> - </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0</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t="str">
        <f>IF(ISNUMBER(IF(D_I="SI",Datos!K16,Datos!K16+Datos!AE16)),IF(D_I="SI",Datos!K16,Datos!K16+Datos!AE16)," - ")</f>
        <v xml:space="preserve"> - </v>
      </c>
      <c r="AC16" s="226" t="str">
        <f>IF(ISNUMBER(Datos!Q16),Datos!Q16," - ")</f>
        <v xml:space="preserve"> - </v>
      </c>
      <c r="AD16" s="334"/>
      <c r="AE16" s="484"/>
      <c r="AF16" s="596" t="str">
        <f>IF(ISNUMBER(IF(D_I="SI",Datos!L16,Datos!L16+Datos!AF16)),IF(D_I="SI",Datos!L16,Datos!L16+Datos!AF16)," - ")</f>
        <v xml:space="preserve"> - </v>
      </c>
      <c r="AG16" s="334"/>
      <c r="AH16" s="334"/>
      <c r="AI16" s="334"/>
      <c r="AJ16" s="334"/>
      <c r="AK16" s="334"/>
      <c r="AL16" s="479"/>
      <c r="AM16" s="335" t="str">
        <f>IF(ISNUMBER(Datos!R16),Datos!R16," - ")</f>
        <v xml:space="preserve"> - </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t="str">
        <f>IF(ISNUMBER(Datos!M16),Datos!M16," - ")</f>
        <v xml:space="preserve"> - </v>
      </c>
      <c r="BD16" s="229" t="str">
        <f>IF(ISNUMBER(Datos!N16),Datos!N16," - ")</f>
        <v xml:space="preserve"> - </v>
      </c>
      <c r="BE16" s="229" t="str">
        <f>IF(ISNUMBER(Datos!BW16),Datos!BW16," - ")</f>
        <v xml:space="preserve"> - </v>
      </c>
      <c r="BF16" s="228" t="str">
        <f>IF(ISNUMBER(Datos!BX16),Datos!BX16," - ")</f>
        <v xml:space="preserve"> - </v>
      </c>
      <c r="BG16" s="243" t="str">
        <f>IF(ISNUMBER(IF(D_I="SI",Datos!K16/Datos!J16,(Datos!K16+Datos!AE16)/(Datos!J16+Datos!AD16))),IF(D_I="SI",Datos!K16/Datos!J16,(Datos!K16+Datos!AE16)/(Datos!J16+Datos!AD16))," - ")</f>
        <v xml:space="preserve"> - </v>
      </c>
      <c r="BH16" s="260" t="str">
        <f>IF(ISNUMBER(((IF(D_I="SI",Datos!L16/Datos!K16,(Datos!L16+Datos!AF16)/(Datos!K16+Datos!AE16)))*11)/factor_trimestre),((IF(D_I="SI",Datos!L16/Datos!K16,(Datos!L16+Datos!AF16)/(Datos!K16+Datos!AE16)))*11)/factor_trimestre," - ")</f>
        <v xml:space="preserve"> - </v>
      </c>
      <c r="BI16" s="243" t="str">
        <f>IF(ISNUMBER('Resol  Asuntos'!D16/NºAsuntos!G16),'Resol  Asuntos'!D16/NºAsuntos!G16," - ")</f>
        <v xml:space="preserve"> - </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3</v>
      </c>
      <c r="B17" s="507" t="s">
        <v>396</v>
      </c>
      <c r="C17" s="7" t="str">
        <f>Datos!A17</f>
        <v>Jdos. Violencia contra la mujer</v>
      </c>
      <c r="D17" s="508"/>
      <c r="E17" s="1025">
        <f>IF(ISNUMBER(Datos!AQ17),Datos!AQ17," - ")</f>
        <v>3</v>
      </c>
      <c r="F17" s="225" t="str">
        <f>IF(ISNUMBER(AF17+AB17-I17-L17),AF17+AB17-I17-L17," - ")</f>
        <v xml:space="preserve"> - </v>
      </c>
      <c r="G17" s="333">
        <f>IF(ISNUMBER(IF(D_I="SI",Datos!I17,Datos!I17+Datos!AC17)),IF(D_I="SI",Datos!I17,Datos!I17+Datos!AC17)," - ")</f>
        <v>410</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13</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1391</v>
      </c>
      <c r="AC17" s="226">
        <f>IF(ISNUMBER(Datos!Q17),Datos!Q17," - ")</f>
        <v>23</v>
      </c>
      <c r="AD17" s="334"/>
      <c r="AE17" s="484"/>
      <c r="AF17" s="332">
        <f>IF(ISNUMBER(Datos!L17),Datos!L17,"-")</f>
        <v>318</v>
      </c>
      <c r="AG17" s="334"/>
      <c r="AH17" s="334"/>
      <c r="AI17" s="334"/>
      <c r="AJ17" s="334"/>
      <c r="AK17" s="334"/>
      <c r="AL17" s="479"/>
      <c r="AM17" s="335">
        <f>IF(ISNUMBER(Datos!R17),Datos!R17," - ")</f>
        <v>31</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114</v>
      </c>
      <c r="BD17" s="229">
        <f>IF(ISNUMBER(Datos!N17),Datos!N17," - ")</f>
        <v>798</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1.1074840764331211</v>
      </c>
      <c r="BH17" s="260">
        <f>IF(ISNUMBER(((IF(D_I="SI",Datos!L17/Datos!K17,(Datos!L17+Datos!AF17)/(Datos!K17+Datos!AE17)))*11)/factor_trimestre),((IF(D_I="SI",Datos!L17/Datos!K17,(Datos!L17+Datos!AF17)/(Datos!K17+Datos!AE17)))*11)/factor_trimestre," - ")</f>
        <v>0.68583752695902223</v>
      </c>
      <c r="BI17" s="243">
        <f>IF(ISNUMBER('Resol  Asuntos'!D17/NºAsuntos!G17),'Resol  Asuntos'!D17/NºAsuntos!G17," - ")</f>
        <v>8.1955427749820273E-2</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15</v>
      </c>
      <c r="F18" s="898">
        <f>SUBTOTAL(9,F15:F17)</f>
        <v>6237</v>
      </c>
      <c r="G18" s="898">
        <f>SUBTOTAL(9,G15:G17)</f>
        <v>6442</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549</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13380</v>
      </c>
      <c r="AC18" s="899">
        <f t="shared" si="4"/>
        <v>584</v>
      </c>
      <c r="AD18" s="899">
        <f t="shared" si="4"/>
        <v>0</v>
      </c>
      <c r="AE18" s="899">
        <f t="shared" si="4"/>
        <v>0</v>
      </c>
      <c r="AF18" s="899">
        <f t="shared" si="4"/>
        <v>6082</v>
      </c>
      <c r="AG18" s="899">
        <f t="shared" si="4"/>
        <v>0</v>
      </c>
      <c r="AH18" s="899">
        <f t="shared" si="4"/>
        <v>0</v>
      </c>
      <c r="AI18" s="899">
        <f t="shared" si="4"/>
        <v>0</v>
      </c>
      <c r="AJ18" s="899">
        <f t="shared" si="4"/>
        <v>0</v>
      </c>
      <c r="AK18" s="899">
        <f t="shared" si="4"/>
        <v>0</v>
      </c>
      <c r="AL18" s="899">
        <f t="shared" si="4"/>
        <v>0</v>
      </c>
      <c r="AM18" s="899">
        <f t="shared" si="4"/>
        <v>1221</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1214</v>
      </c>
      <c r="BD18" s="899">
        <f t="shared" si="4"/>
        <v>8428</v>
      </c>
      <c r="BE18" s="899">
        <f t="shared" si="4"/>
        <v>0</v>
      </c>
      <c r="BF18" s="899">
        <f t="shared" si="4"/>
        <v>0</v>
      </c>
      <c r="BG18" s="899">
        <f>IF(ISNUMBER(Datos!K18/Datos!J18),Datos!K18/Datos!J18," - ")</f>
        <v>1.0476041340432196</v>
      </c>
      <c r="BH18" s="903">
        <f>IF(ISNUMBER(((Datos!L18/Datos!K18)*11)/factor_trimestre),((Datos!L18/Datos!K18)*11)/factor_trimestre," - ")</f>
        <v>1.3636771300448431</v>
      </c>
      <c r="BI18" s="899">
        <f>SUBTOTAL(9,BI15:BI17)</f>
        <v>0.17370619929039915</v>
      </c>
      <c r="BJ18" s="899">
        <f>SUBTOTAL(9,BJ15:BJ17)</f>
        <v>0</v>
      </c>
      <c r="BK18" s="899">
        <f>SUBTOTAL(9,BK15:BK17)</f>
        <v>0</v>
      </c>
      <c r="BL18" s="899">
        <f>IF(ISNUMBER((I18-AB18+L18)/(F18)),(I18-AB18+L18)/(F18)," - ")</f>
        <v>-2.1452621452621452</v>
      </c>
      <c r="BM18" s="905">
        <f>IF(ISNUMBER((Datos!P18-Datos!Q18)/(Datos!R18-Datos!P18+Datos!Q18)),(Datos!P18-Datos!Q18)/(Datos!R18-Datos!P18+Datos!Q18)," - ")</f>
        <v>-2.7866242038216561E-2</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41</v>
      </c>
      <c r="F19" s="820">
        <f t="shared" si="6"/>
        <v>6439</v>
      </c>
      <c r="G19" s="820">
        <f t="shared" si="6"/>
        <v>6644</v>
      </c>
      <c r="H19" s="822">
        <f t="shared" si="6"/>
        <v>0</v>
      </c>
      <c r="I19" s="820">
        <f t="shared" si="6"/>
        <v>0</v>
      </c>
      <c r="J19" s="822">
        <f t="shared" si="6"/>
        <v>0</v>
      </c>
      <c r="K19" s="822">
        <f t="shared" si="6"/>
        <v>0</v>
      </c>
      <c r="L19" s="881">
        <f t="shared" si="6"/>
        <v>0</v>
      </c>
      <c r="M19" s="881">
        <f t="shared" si="6"/>
        <v>0</v>
      </c>
      <c r="N19" s="881">
        <f t="shared" si="6"/>
        <v>773</v>
      </c>
      <c r="O19" s="881">
        <f t="shared" si="6"/>
        <v>0</v>
      </c>
      <c r="P19" s="881">
        <f t="shared" si="6"/>
        <v>0</v>
      </c>
      <c r="Q19" s="822">
        <f t="shared" si="6"/>
        <v>3849</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13535</v>
      </c>
      <c r="AC19" s="821">
        <f t="shared" si="7"/>
        <v>2530</v>
      </c>
      <c r="AD19" s="821">
        <f t="shared" si="7"/>
        <v>0</v>
      </c>
      <c r="AE19" s="821">
        <f t="shared" si="7"/>
        <v>0</v>
      </c>
      <c r="AF19" s="828">
        <f t="shared" si="7"/>
        <v>6268</v>
      </c>
      <c r="AG19" s="828">
        <f t="shared" si="7"/>
        <v>0</v>
      </c>
      <c r="AH19" s="828">
        <f t="shared" si="7"/>
        <v>575</v>
      </c>
      <c r="AI19" s="828">
        <f t="shared" si="7"/>
        <v>0</v>
      </c>
      <c r="AJ19" s="821">
        <f t="shared" si="7"/>
        <v>0</v>
      </c>
      <c r="AK19" s="828">
        <f t="shared" si="7"/>
        <v>0</v>
      </c>
      <c r="AL19" s="828">
        <f t="shared" si="7"/>
        <v>0</v>
      </c>
      <c r="AM19" s="828">
        <f t="shared" si="7"/>
        <v>38772</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6132</v>
      </c>
      <c r="BD19" s="820">
        <f t="shared" si="7"/>
        <v>12943</v>
      </c>
      <c r="BE19" s="820">
        <f t="shared" si="7"/>
        <v>0</v>
      </c>
      <c r="BF19" s="830">
        <f t="shared" si="7"/>
        <v>0</v>
      </c>
      <c r="BG19" s="915">
        <f>IF(ISNUMBER(Datos!K19/Datos!J19),Datos!K19/Datos!J19," - ")</f>
        <v>1.0139432868557106</v>
      </c>
      <c r="BH19" s="915">
        <f>IF(ISNUMBER(((Datos!L19/Datos!K19)*11)/factor_trimestre),((Datos!L19/Datos!K19)*11)/factor_trimestre," - ")</f>
        <v>3.5419885661310264</v>
      </c>
      <c r="BI19" s="813">
        <f>IF(ISNUMBER(Datos!J19/Datos!I19),Datos!J19/Datos!I19," - ")</f>
        <v>0.83618261610008515</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-2.1020344774033233</v>
      </c>
      <c r="BM19" s="889">
        <f>IF(ISNUMBER((Datos!P19-Datos!Q19+R19)/(Datos!R19-Datos!P19+Datos!Q19-R19)),(Datos!P19-Datos!Q19+R19)/(Datos!R19-Datos!P19+Datos!Q19-R19)," - ")</f>
        <v>3.5217472565615575E-2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2657.6</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9.3065090722091455</v>
      </c>
      <c r="F21" s="551">
        <f>IF(ISNUMBER(STDEV(F8:F18)),STDEV(F8:F18),"-")</f>
        <v>3484.3088745593914</v>
      </c>
      <c r="G21" s="552">
        <f>IF(ISNUMBER(STDEV(G8:G18)),STDEV(G8:G18),"-")</f>
        <v>3271.846084399448</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6674.3252842515849</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2022.2806432342668</v>
      </c>
      <c r="BD21" s="551"/>
      <c r="BE21" s="551">
        <f>IF(ISNUMBER(STDEV(BE8:BE18)),STDEV(BE8:BE18),"-")</f>
        <v>0</v>
      </c>
      <c r="BF21" s="556">
        <f>IF(ISNUMBER(STDEV(BF8:BF18)),STDEV(BF8:BF18),"-")</f>
        <v>0</v>
      </c>
      <c r="BG21" s="775">
        <f>IF(ISNUMBER(STDEV(BG8:BG18)),STDEV(BG8:BG18),"-")</f>
        <v>7.4927710140571341E-2</v>
      </c>
      <c r="BH21" s="776">
        <f>IF(ISNUMBER(STDEV(BH8:BH18)),STDEV(BH8:BH18),"-")</f>
        <v>2.1702347996677109</v>
      </c>
      <c r="BI21" s="249">
        <f>IF(ISNUMBER(STDEV(BI8:BI18)),STDEV(BI8:BI18),"-")</f>
        <v>0.13641669751674407</v>
      </c>
      <c r="BJ21" s="230" t="str">
        <f>IF(ISNUMBER(BL21/BM21),BL21/BM21," - ")</f>
        <v xml:space="preserve"> - </v>
      </c>
      <c r="BK21" s="575"/>
      <c r="BL21" s="559">
        <f>IF(ISNUMBER(STDEV(BL8:BL18)),STDEV(BL8:BL18),"-")</f>
        <v>0.97434747427867874</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24 sep. 2025</v>
      </c>
    </row>
    <row r="32" spans="1:78">
      <c r="C32" s="527"/>
      <c r="D32" s="527"/>
    </row>
  </sheetData>
  <sheetProtection algorithmName="SHA-512" hashValue="l2G0Ykb6XI3owRgtdUevPN8wNOrfSx8NtnG9ypVDXRNPaDvECv7r56OyAogzpwrCSmo1Amk835Ld8wRg4+O5bQ==" saltValue="GLMspp19pYWcPtaMkI62J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ARAGON</v>
      </c>
    </row>
    <row r="2" spans="1:78" ht="16.5" customHeight="1">
      <c r="C2" s="528" t="str">
        <f>Criterios!A10 &amp;"  "&amp;Criterios!B10 &amp; "  " &amp; IF(NOT(ISBLANK(Criterios!A11)),Criterios!A11 &amp;"  "&amp;Criterios!B11,"")</f>
        <v>Provincias  ZARAGOZA  Resumenes por Partidos Judiciales  ZARAGOZA</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2025          Trimestre   2 al 2</v>
      </c>
      <c r="D5" s="1535" t="s">
        <v>376</v>
      </c>
      <c r="E5" s="1492" t="s">
        <v>555</v>
      </c>
      <c r="F5" s="1503" t="s">
        <v>406</v>
      </c>
      <c r="G5" s="1492" t="s">
        <v>128</v>
      </c>
      <c r="H5" s="1492" t="s">
        <v>585</v>
      </c>
      <c r="I5" s="1492" t="s">
        <v>556</v>
      </c>
      <c r="J5" s="1492" t="s">
        <v>678</v>
      </c>
      <c r="K5" s="1492" t="s">
        <v>557</v>
      </c>
      <c r="L5" s="1492" t="s">
        <v>583</v>
      </c>
      <c r="M5" s="1492" t="s">
        <v>679</v>
      </c>
      <c r="N5" s="1492" t="s">
        <v>582</v>
      </c>
      <c r="O5" s="1492" t="s">
        <v>609</v>
      </c>
      <c r="P5" s="1498" t="s">
        <v>671</v>
      </c>
      <c r="Q5" s="1498" t="s">
        <v>673</v>
      </c>
      <c r="R5" s="1492" t="s">
        <v>589</v>
      </c>
      <c r="S5" s="1492" t="s">
        <v>558</v>
      </c>
      <c r="T5" s="1492" t="s">
        <v>762</v>
      </c>
      <c r="U5" s="1492" t="s">
        <v>763</v>
      </c>
      <c r="V5" s="1512" t="s">
        <v>662</v>
      </c>
      <c r="W5" s="1509" t="s">
        <v>571</v>
      </c>
      <c r="X5" s="1527" t="s">
        <v>572</v>
      </c>
      <c r="Y5" s="1530" t="s">
        <v>590</v>
      </c>
      <c r="Z5" s="1530" t="s">
        <v>610</v>
      </c>
      <c r="AA5" s="1492" t="s">
        <v>562</v>
      </c>
      <c r="AB5" s="1492" t="s">
        <v>573</v>
      </c>
      <c r="AC5" s="1492" t="s">
        <v>574</v>
      </c>
      <c r="AD5" s="1492" t="s">
        <v>528</v>
      </c>
      <c r="AE5" s="1492" t="s">
        <v>680</v>
      </c>
      <c r="AF5" s="1492" t="s">
        <v>182</v>
      </c>
      <c r="AG5" s="1492" t="s">
        <v>575</v>
      </c>
      <c r="AH5" s="1492" t="s">
        <v>563</v>
      </c>
      <c r="AI5" s="1492" t="s">
        <v>564</v>
      </c>
      <c r="AJ5" s="1492" t="s">
        <v>576</v>
      </c>
      <c r="AK5" s="1492" t="s">
        <v>577</v>
      </c>
      <c r="AL5" s="1492" t="s">
        <v>578</v>
      </c>
      <c r="AM5" s="1524" t="s">
        <v>579</v>
      </c>
      <c r="AN5" s="1492" t="s">
        <v>249</v>
      </c>
      <c r="AO5" s="1492" t="s">
        <v>566</v>
      </c>
      <c r="AP5" s="1492" t="s">
        <v>567</v>
      </c>
      <c r="AQ5" s="1492" t="s">
        <v>591</v>
      </c>
      <c r="AR5" s="1492" t="s">
        <v>592</v>
      </c>
      <c r="AS5" s="1492" t="s">
        <v>594</v>
      </c>
      <c r="AT5" s="1492" t="s">
        <v>587</v>
      </c>
      <c r="AU5" s="1492" t="s">
        <v>828</v>
      </c>
      <c r="AV5" s="1492" t="s">
        <v>333</v>
      </c>
      <c r="AW5" s="1492" t="s">
        <v>580</v>
      </c>
      <c r="AX5" s="1492" t="s">
        <v>533</v>
      </c>
      <c r="BU5" s="1492" t="s">
        <v>764</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593</v>
      </c>
      <c r="B9" s="501" t="s">
        <v>246</v>
      </c>
      <c r="C9" s="160" t="str">
        <f>Datos!A9</f>
        <v xml:space="preserve">Jdos. 1ª Instancia   </v>
      </c>
      <c r="D9" s="502"/>
      <c r="E9" s="1168">
        <f>IF(ISNUMBER(Datos!AQ9),Datos!AQ9," - ")</f>
        <v>19</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3127</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f>IF(ISNUMBER(Datos!Q9),Datos!Q9," - ")</f>
        <v>1725</v>
      </c>
      <c r="AA9" s="332" t="str">
        <f>IF(ISNUMBER(IF(J_V="SI",Datos!L9,Datos!L9+Datos!AB9)-IF(Monitorios="SI",Datos!CD9,0)),
                          IF(J_V="SI",Datos!L9,Datos!L9+Datos!AB9)-IF(Monitorios="SI",Datos!CD9,0),
                          " - ")</f>
        <v xml:space="preserve"> - </v>
      </c>
      <c r="AB9" s="334"/>
      <c r="AC9" s="334"/>
      <c r="AD9" s="484"/>
      <c r="AE9" s="484">
        <f>IF(ISNUMBER(Datos!R9),Datos!R9," - ")</f>
        <v>35880</v>
      </c>
      <c r="AF9" s="229" t="str">
        <f>IF(ISNUMBER(Datos!BV9),Datos!BV9," - ")</f>
        <v xml:space="preserve"> - </v>
      </c>
      <c r="AG9" s="225" t="str">
        <f>IF(ISNUMBER(Datos!DV9),Datos!DV9," - ")</f>
        <v xml:space="preserve"> - </v>
      </c>
      <c r="AH9" s="298"/>
      <c r="AI9" s="227"/>
      <c r="AJ9" s="225">
        <f>IF(ISNUMBER(Datos!M9),Datos!M9," - ")</f>
        <v>4343</v>
      </c>
      <c r="AK9" s="229">
        <f>IF(ISNUMBER(Datos!N9),Datos!N9," - ")</f>
        <v>3975</v>
      </c>
      <c r="AL9" s="229" t="str">
        <f>IF(ISNUMBER(Datos!BW9),Datos!BW9," - ")</f>
        <v xml:space="preserve"> - </v>
      </c>
      <c r="AM9" s="228" t="str">
        <f>IF(ISNUMBER(Datos!BX9),Datos!BX9," - ")</f>
        <v xml:space="preserve"> - </v>
      </c>
      <c r="AN9" s="243"/>
      <c r="AO9" s="260">
        <f>IF(ISNUMBER(((NºAsuntos!I9/NºAsuntos!G9)*11)/factor_trimestre),((NºAsuntos!I9/NºAsuntos!G9)*11)/factor_trimestre," - ")</f>
        <v>6.0571160249295666</v>
      </c>
      <c r="AP9" s="230" t="str">
        <f>IF(ISNUMBER(Datos!CI9/Datos!CJ9),Datos!CI9/Datos!CJ9," - ")</f>
        <v xml:space="preserve"> - </v>
      </c>
      <c r="AQ9" s="230" t="str">
        <f>IF(ISNUMBER((J9-Y9+K9)/(F9)),(J9-Y9+K9)/(F9)," - ")</f>
        <v xml:space="preserve"> - </v>
      </c>
      <c r="AR9" s="230">
        <f>IF(ISNUMBER((Datos!P9-Datos!Q9+Datos!DE9)/(Datos!R9-Datos!P9+Datos!Q9-Datos!DE9)),(Datos!P9-Datos!Q9+Datos!DE9)/(Datos!R9-Datos!P9+Datos!Q9-Datos!DE9)," - ")</f>
        <v>4.0663611578397818E-2</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3</v>
      </c>
      <c r="B10" s="507" t="s">
        <v>246</v>
      </c>
      <c r="C10" s="7" t="str">
        <f>Datos!A10</f>
        <v>Jdos. Violencia contra la mujer</v>
      </c>
      <c r="D10" s="508"/>
      <c r="E10" s="1168">
        <f>IF(ISNUMBER(Datos!AQ10),Datos!AQ10," - ")</f>
        <v>3</v>
      </c>
      <c r="F10" s="225">
        <f>IF(ISNUMBER(Datos!L10+Datos!K10-Datos!J10),Datos!L10+Datos!K10-Datos!J10," - ")</f>
        <v>202</v>
      </c>
      <c r="G10" s="225">
        <f>IF(ISNUMBER(Datos!I10),Datos!I10," - ")</f>
        <v>202</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33</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155</v>
      </c>
      <c r="Z10" s="619">
        <f>IF(ISNUMBER(Datos!Q10),Datos!Q10," - ")</f>
        <v>30</v>
      </c>
      <c r="AA10" s="332">
        <f>IF(ISNUMBER(Datos!L10),Datos!L10,"-")</f>
        <v>186</v>
      </c>
      <c r="AB10" s="334"/>
      <c r="AC10" s="334"/>
      <c r="AD10" s="484"/>
      <c r="AE10" s="484">
        <f>IF(ISNUMBER(Datos!R10),Datos!R10," - ")</f>
        <v>290</v>
      </c>
      <c r="AF10" s="229" t="str">
        <f>IF(ISNUMBER(Datos!BV10),Datos!BV10," - ")</f>
        <v xml:space="preserve"> - </v>
      </c>
      <c r="AG10" s="225" t="str">
        <f>IF(ISNUMBER(Datos!DV10),Datos!DV10," - ")</f>
        <v xml:space="preserve"> - </v>
      </c>
      <c r="AH10" s="298"/>
      <c r="AI10" s="227"/>
      <c r="AJ10" s="225">
        <f>IF(ISNUMBER(Datos!M10),Datos!M10," - ")</f>
        <v>49</v>
      </c>
      <c r="AK10" s="229">
        <f>IF(ISNUMBER(Datos!N10),Datos!N10," - ")</f>
        <v>83</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3.6</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1.0452961672473868E-2</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4</v>
      </c>
      <c r="B11" s="507" t="s">
        <v>246</v>
      </c>
      <c r="C11" s="7" t="str">
        <f>Datos!A11</f>
        <v xml:space="preserve">Jdos. Familia                                   </v>
      </c>
      <c r="D11" s="508"/>
      <c r="E11" s="1168">
        <f>IF(ISNUMBER(Datos!AQ11),Datos!AQ11," - ")</f>
        <v>4</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140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f>IF(ISNUMBER(Datos!Q11),Datos!Q11," - ")</f>
        <v>191</v>
      </c>
      <c r="AA11" s="332" t="str">
        <f>IF(ISNUMBER(IF(J_V="SI",Datos!L11,Datos!L11+Datos!AB11)-IF(Monitorios="SI",Datos!CD11,0)),
                          IF(J_V="SI",Datos!L11,Datos!L11+Datos!AB11)-IF(Monitorios="SI",Datos!CD11,0),
                          " - ")</f>
        <v xml:space="preserve"> - </v>
      </c>
      <c r="AB11" s="334"/>
      <c r="AC11" s="334"/>
      <c r="AD11" s="484"/>
      <c r="AE11" s="484">
        <f>IF(ISNUMBER(Datos!R11),Datos!R11," - ")</f>
        <v>1381</v>
      </c>
      <c r="AF11" s="229" t="str">
        <f>IF(ISNUMBER(Datos!BV11),Datos!BV11," - ")</f>
        <v xml:space="preserve"> - </v>
      </c>
      <c r="AG11" s="225" t="str">
        <f>IF(ISNUMBER(Datos!DV11),Datos!DV11," - ")</f>
        <v xml:space="preserve"> - </v>
      </c>
      <c r="AH11" s="298"/>
      <c r="AI11" s="227"/>
      <c r="AJ11" s="225">
        <f>IF(ISNUMBER(Datos!M11),Datos!M11," - ")</f>
        <v>526</v>
      </c>
      <c r="AK11" s="229">
        <f>IF(ISNUMBER(Datos!N11),Datos!N11," - ")</f>
        <v>457</v>
      </c>
      <c r="AL11" s="229" t="str">
        <f>IF(ISNUMBER(Datos!BW11),Datos!BW11," - ")</f>
        <v xml:space="preserve"> - </v>
      </c>
      <c r="AM11" s="228" t="str">
        <f>IF(ISNUMBER(Datos!BX11),Datos!BX11," - ")</f>
        <v xml:space="preserve"> - </v>
      </c>
      <c r="AN11" s="243"/>
      <c r="AO11" s="260">
        <f>IF(ISNUMBER(((NºAsuntos!I11/NºAsuntos!G11)*11)/factor_trimestre),((NºAsuntos!I11/NºAsuntos!G11)*11)/factor_trimestre," - ")</f>
        <v>3.0222405271828667</v>
      </c>
      <c r="AP11" s="230" t="str">
        <f>IF(ISNUMBER(Datos!CI11/Datos!CJ11),Datos!CI11/Datos!CJ11," - ")</f>
        <v xml:space="preserve"> - </v>
      </c>
      <c r="AQ11" s="230" t="str">
        <f>IF(ISNUMBER((I11-Y11+K11)/(F11)),(I11-Y11+K11)/(F11)," - ")</f>
        <v xml:space="preserve"> - </v>
      </c>
      <c r="AR11" s="230">
        <f>IF(ISNUMBER((Datos!P11-Datos!Q11+Datos!DE11)/(Datos!R11-Datos!P11+Datos!Q11-Datos!DE11)),(Datos!P11-Datos!Q11+Datos!DE11)/(Datos!R11-Datos!P11+Datos!Q11-Datos!DE11)," - ")</f>
        <v>-3.5614525139664802E-2</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0</v>
      </c>
      <c r="B12" s="507" t="s">
        <v>246</v>
      </c>
      <c r="C12" s="7" t="str">
        <f>Datos!A12</f>
        <v xml:space="preserve">Jdos. 1ª Instª. e Instr.                        </v>
      </c>
      <c r="D12" s="508"/>
      <c r="E12" s="1168">
        <f>IF(ISNUMBER(Datos!AQ12),Datos!AQ12," - ")</f>
        <v>0</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0</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t="str">
        <f>IF(ISNUMBER(Datos!Q12),Datos!Q12," - ")</f>
        <v xml:space="preserve"> - </v>
      </c>
      <c r="AA12" s="332" t="str">
        <f>IF(ISNUMBER(IF(J_V="SI",Datos!L12,Datos!L12+Datos!AB12)-IF(Monitorios="SI",Datos!CD12,0)),
                          IF(J_V="SI",Datos!L12,Datos!L12+Datos!AB12)-IF(Monitorios="SI",Datos!CD12,0),
                          " - ")</f>
        <v xml:space="preserve"> - </v>
      </c>
      <c r="AB12" s="334"/>
      <c r="AC12" s="334"/>
      <c r="AD12" s="484"/>
      <c r="AE12" s="484" t="str">
        <f>IF(ISNUMBER(Datos!R12),Datos!R12," - ")</f>
        <v xml:space="preserve"> - </v>
      </c>
      <c r="AF12" s="229" t="str">
        <f>IF(ISNUMBER(Datos!BV12),Datos!BV12," - ")</f>
        <v xml:space="preserve"> - </v>
      </c>
      <c r="AG12" s="225" t="str">
        <f>IF(ISNUMBER(Datos!DV12),Datos!DV12," - ")</f>
        <v xml:space="preserve"> - </v>
      </c>
      <c r="AH12" s="298"/>
      <c r="AI12" s="227"/>
      <c r="AJ12" s="225" t="str">
        <f>IF(ISNUMBER(Datos!M12),Datos!M12," - ")</f>
        <v xml:space="preserve"> - </v>
      </c>
      <c r="AK12" s="229" t="str">
        <f>IF(ISNUMBER(Datos!N12),Datos!N12," - ")</f>
        <v xml:space="preserve"> - </v>
      </c>
      <c r="AL12" s="229" t="str">
        <f>IF(ISNUMBER(Datos!BW12),Datos!BW12," - ")</f>
        <v xml:space="preserve"> - </v>
      </c>
      <c r="AM12" s="228" t="str">
        <f>IF(ISNUMBER(Datos!BX12),Datos!BX12," - ")</f>
        <v xml:space="preserve"> - </v>
      </c>
      <c r="AN12" s="243"/>
      <c r="AO12" s="260" t="str">
        <f>IF(ISNUMBER(((NºAsuntos!I12/NºAsuntos!G12)*11)/factor_trimestre),((NºAsuntos!I12/NºAsuntos!G12)*11)/factor_trimestre," - ")</f>
        <v xml:space="preserve"> - </v>
      </c>
      <c r="AP12" s="230" t="str">
        <f>IF(ISNUMBER(Datos!CI12/Datos!CJ12),Datos!CI12/Datos!CJ12," - ")</f>
        <v xml:space="preserve"> - </v>
      </c>
      <c r="AQ12" s="230" t="str">
        <f>IF(ISNUMBER((I12-Y12+K12)/(F12)),(I12-Y12+K12)/(F12)," - ")</f>
        <v xml:space="preserve"> - </v>
      </c>
      <c r="AR12" s="230" t="str">
        <f>IF(ISNUMBER((Datos!P12-Datos!Q12+Datos!DE12)/(Datos!R12-Datos!P12+Datos!Q12-Datos!DE12)),(Datos!P12-Datos!Q12+Datos!DE12)/(Datos!R12-Datos!P12+Datos!Q12-Datos!DE12)," - ")</f>
        <v xml:space="preserve"> - </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26</v>
      </c>
      <c r="F13" s="898">
        <f>SUBTOTAL(9,F8:F12)</f>
        <v>202</v>
      </c>
      <c r="G13" s="898">
        <f>SUBTOTAL(9,G8:G12)</f>
        <v>202</v>
      </c>
      <c r="H13" s="908"/>
      <c r="I13" s="898">
        <f t="shared" ref="I13:N13" si="0">SUBTOTAL(9,I8:I12)</f>
        <v>0</v>
      </c>
      <c r="J13" s="867">
        <f t="shared" si="0"/>
        <v>0</v>
      </c>
      <c r="K13" s="908">
        <f t="shared" si="0"/>
        <v>0</v>
      </c>
      <c r="L13" s="908">
        <f t="shared" si="0"/>
        <v>0</v>
      </c>
      <c r="M13" s="908">
        <f t="shared" si="0"/>
        <v>0</v>
      </c>
      <c r="N13" s="908">
        <f t="shared" si="0"/>
        <v>3300</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155</v>
      </c>
      <c r="Z13" s="907">
        <f t="shared" si="2"/>
        <v>1946</v>
      </c>
      <c r="AA13" s="900">
        <f t="shared" si="2"/>
        <v>186</v>
      </c>
      <c r="AB13" s="900">
        <f t="shared" si="2"/>
        <v>0</v>
      </c>
      <c r="AC13" s="900">
        <f t="shared" si="2"/>
        <v>0</v>
      </c>
      <c r="AD13" s="900">
        <f t="shared" si="2"/>
        <v>0</v>
      </c>
      <c r="AE13" s="900">
        <f t="shared" si="2"/>
        <v>37551</v>
      </c>
      <c r="AF13" s="908">
        <f t="shared" si="2"/>
        <v>0</v>
      </c>
      <c r="AG13" s="908">
        <f t="shared" si="2"/>
        <v>0</v>
      </c>
      <c r="AH13" s="908">
        <f t="shared" si="2"/>
        <v>0</v>
      </c>
      <c r="AI13" s="908">
        <f t="shared" si="2"/>
        <v>0</v>
      </c>
      <c r="AJ13" s="908">
        <f t="shared" si="2"/>
        <v>4918</v>
      </c>
      <c r="AK13" s="908">
        <f t="shared" si="2"/>
        <v>4515</v>
      </c>
      <c r="AL13" s="908">
        <f t="shared" si="2"/>
        <v>0</v>
      </c>
      <c r="AM13" s="908">
        <f t="shared" si="2"/>
        <v>0</v>
      </c>
      <c r="AN13" s="908">
        <f t="shared" si="2"/>
        <v>0</v>
      </c>
      <c r="AO13" s="904">
        <f>IF(ISNUMBER(((NºAsuntos!I13/NºAsuntos!G13)*11)/factor_trimestre),((NºAsuntos!I13/NºAsuntos!G13)*11)/factor_trimestre," - ")</f>
        <v>5.7463690567191561</v>
      </c>
      <c r="AP13" s="910" t="str">
        <f>IF(ISNUMBER(Datos!CI13/Datos!CJ13),Datos!CI13/Datos!CJ13," - ")</f>
        <v xml:space="preserve"> - </v>
      </c>
      <c r="AQ13" s="928">
        <f t="shared" ref="AQ13:AV13" si="3">SUBTOTAL(9,AQ9:AQ12)</f>
        <v>0</v>
      </c>
      <c r="AR13" s="928">
        <f t="shared" si="3"/>
        <v>1.5502048111206881E-2</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12</v>
      </c>
      <c r="B15" s="507" t="s">
        <v>396</v>
      </c>
      <c r="C15" s="160" t="str">
        <f>Datos!A15</f>
        <v xml:space="preserve">Jdos. Instrucción                               </v>
      </c>
      <c r="D15" s="502"/>
      <c r="E15" s="1168">
        <f>IF(ISNUMBER(Datos!AQ15),Datos!AQ15," - ")</f>
        <v>12</v>
      </c>
      <c r="F15" s="333">
        <f>IF(ISNUMBER(AA15+Y15-Datos!J15-K15),AA15+Y15-Datos!J15-K15," - ")</f>
        <v>6237</v>
      </c>
      <c r="G15" s="225">
        <f>IF(ISNUMBER(IF(D_I="SI",Datos!I15,Datos!I15+Datos!AC15)),IF(D_I="SI",Datos!I15,Datos!I15+Datos!AC15)," - ")</f>
        <v>6032</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536</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f>IF(ISNUMBER(IF(D_I="SI",Datos!K15,Datos!K15+Datos!AE15)),IF(D_I="SI",Datos!K15,Datos!K15+Datos!AE15)," - ")</f>
        <v>11989</v>
      </c>
      <c r="Z15" s="619">
        <f>IF(ISNUMBER(Datos!Q15),Datos!Q15," - ")</f>
        <v>561</v>
      </c>
      <c r="AA15" s="332">
        <f>IF(ISNUMBER(IF(D_I="SI",Datos!L15,Datos!L15+Datos!AF15)),IF(D_I="SI",Datos!L15,Datos!L15+Datos!AF15)," - ")</f>
        <v>5764</v>
      </c>
      <c r="AB15" s="334"/>
      <c r="AC15" s="334"/>
      <c r="AD15" s="484"/>
      <c r="AE15" s="484">
        <f>IF(ISNUMBER(Datos!R15),Datos!R15," - ")</f>
        <v>1190</v>
      </c>
      <c r="AF15" s="229" t="str">
        <f>IF(ISNUMBER(Datos!BV15),Datos!BV15," - ")</f>
        <v xml:space="preserve"> - </v>
      </c>
      <c r="AG15" s="225"/>
      <c r="AH15" s="298"/>
      <c r="AI15" s="227"/>
      <c r="AJ15" s="225">
        <f>IF(ISNUMBER(Datos!M15),Datos!M15," - ")</f>
        <v>1100</v>
      </c>
      <c r="AK15" s="229">
        <f>IF(ISNUMBER(Datos!N15),Datos!N15," - ")</f>
        <v>7630</v>
      </c>
      <c r="AL15" s="229" t="str">
        <f>IF(ISNUMBER(Datos!BW15),Datos!BW15," - ")</f>
        <v xml:space="preserve"> - </v>
      </c>
      <c r="AM15" s="228" t="str">
        <f>IF(ISNUMBER(Datos!BX15),Datos!BX15," - ")</f>
        <v xml:space="preserve"> - </v>
      </c>
      <c r="AN15" s="243"/>
      <c r="AO15" s="260">
        <f>IF(ISNUMBER(((NºAsuntos!I15/NºAsuntos!G15)*11)/factor_trimestre),((NºAsuntos!I15/NºAsuntos!G15)*11)/factor_trimestre," - ")</f>
        <v>1.4423221286178998</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0</v>
      </c>
      <c r="B16" s="507" t="s">
        <v>396</v>
      </c>
      <c r="C16" s="160" t="str">
        <f>Datos!A16</f>
        <v xml:space="preserve">Jdos. 1ª Instª. e Instr.                        </v>
      </c>
      <c r="D16" s="502"/>
      <c r="E16" s="1168">
        <f>IF(ISNUMBER(Datos!AQ16),Datos!AQ16," - ")</f>
        <v>0</v>
      </c>
      <c r="F16" s="333" t="str">
        <f>IF(ISNUMBER(AA16+Y16-Datos!J16-K15),AA16+Y16-Datos!J16-K15," - ")</f>
        <v xml:space="preserve"> - </v>
      </c>
      <c r="G16" s="225" t="str">
        <f>IF(ISNUMBER(IF(D_I="SI",Datos!I16,Datos!I16+Datos!AC16)),IF(D_I="SI",Datos!I16,Datos!I16+Datos!AC16)," - ")</f>
        <v xml:space="preserve"> - </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0</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t="str">
        <f>IF(ISNUMBER(IF(D_I="SI",Datos!K16,Datos!K16+Datos!AE16)),IF(D_I="SI",Datos!K16,Datos!K16+Datos!AE16)," - ")</f>
        <v xml:space="preserve"> - </v>
      </c>
      <c r="Z16" s="619" t="str">
        <f>IF(ISNUMBER(Datos!Q16),Datos!Q16," - ")</f>
        <v xml:space="preserve"> - </v>
      </c>
      <c r="AA16" s="332" t="str">
        <f>IF(ISNUMBER(IF(D_I="SI",Datos!L16,Datos!L16+Datos!AF16)),IF(D_I="SI",Datos!L16,Datos!L16+Datos!AF16)," - ")</f>
        <v xml:space="preserve"> - </v>
      </c>
      <c r="AB16" s="334"/>
      <c r="AC16" s="334"/>
      <c r="AD16" s="484"/>
      <c r="AE16" s="484" t="str">
        <f>IF(ISNUMBER(Datos!R16),Datos!R16," - ")</f>
        <v xml:space="preserve"> - </v>
      </c>
      <c r="AF16" s="229" t="str">
        <f>IF(ISNUMBER(Datos!BV16),Datos!BV16," - ")</f>
        <v xml:space="preserve"> - </v>
      </c>
      <c r="AG16" s="225"/>
      <c r="AH16" s="298"/>
      <c r="AI16" s="227"/>
      <c r="AJ16" s="225" t="str">
        <f>IF(ISNUMBER(Datos!M16),Datos!M16," - ")</f>
        <v xml:space="preserve"> - </v>
      </c>
      <c r="AK16" s="229" t="str">
        <f>IF(ISNUMBER(Datos!N16),Datos!N16," - ")</f>
        <v xml:space="preserve"> - </v>
      </c>
      <c r="AL16" s="229" t="str">
        <f>IF(ISNUMBER(Datos!BW16),Datos!BW16," - ")</f>
        <v xml:space="preserve"> - </v>
      </c>
      <c r="AM16" s="228" t="str">
        <f>IF(ISNUMBER(Datos!BX16),Datos!BX16," - ")</f>
        <v xml:space="preserve"> - </v>
      </c>
      <c r="AN16" s="243"/>
      <c r="AO16" s="260" t="str">
        <f>IF(ISNUMBER(((NºAsuntos!I16/NºAsuntos!G16)*11)/factor_trimestre),((NºAsuntos!I16/NºAsuntos!G16)*11)/factor_trimestre," - ")</f>
        <v xml:space="preserve"> - </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3</v>
      </c>
      <c r="B17" s="507" t="s">
        <v>396</v>
      </c>
      <c r="C17" s="7" t="str">
        <f>Datos!A17</f>
        <v>Jdos. Violencia contra la mujer</v>
      </c>
      <c r="D17" s="508"/>
      <c r="E17" s="1168">
        <f>IF(ISNUMBER(Datos!AQ17),Datos!AQ17," - ")</f>
        <v>3</v>
      </c>
      <c r="F17" s="225" t="str">
        <f>IF(ISNUMBER(AA17+Y17-I17-K17),AA17+Y17-I17-K17," - ")</f>
        <v xml:space="preserve"> - </v>
      </c>
      <c r="G17" s="523">
        <f>IF(ISNUMBER(IF(D_I="SI",Datos!I17,Datos!I17+Datos!AC17)),IF(D_I="SI",Datos!I17,Datos!I17+Datos!AC17)," - ")</f>
        <v>410</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13</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1391</v>
      </c>
      <c r="Z17" s="619">
        <f>IF(ISNUMBER(Datos!Q17),Datos!Q17," - ")</f>
        <v>23</v>
      </c>
      <c r="AA17" s="332">
        <f>IF(ISNUMBER(Datos!L17),Datos!L17,"-")</f>
        <v>318</v>
      </c>
      <c r="AB17" s="334"/>
      <c r="AC17" s="334"/>
      <c r="AD17" s="484"/>
      <c r="AE17" s="484">
        <f>IF(ISNUMBER(Datos!R17),Datos!R17," - ")</f>
        <v>31</v>
      </c>
      <c r="AF17" s="229" t="str">
        <f>IF(ISNUMBER(Datos!BV17),Datos!BV17," - ")</f>
        <v xml:space="preserve"> - </v>
      </c>
      <c r="AG17" s="225" t="str">
        <f>IF(ISNUMBER(Datos!DV17),Datos!DV17," - ")</f>
        <v xml:space="preserve"> - </v>
      </c>
      <c r="AH17" s="298"/>
      <c r="AI17" s="227"/>
      <c r="AJ17" s="225">
        <f>IF(ISNUMBER(Datos!M17),Datos!M17," - ")</f>
        <v>114</v>
      </c>
      <c r="AK17" s="229">
        <f>IF(ISNUMBER(Datos!N17),Datos!N17," - ")</f>
        <v>798</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0.68583752695902223</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15</v>
      </c>
      <c r="F18" s="898">
        <f>SUBTOTAL(9,F15:F17)</f>
        <v>6237</v>
      </c>
      <c r="G18" s="898">
        <f>SUBTOTAL(9,G15:G17)</f>
        <v>6442</v>
      </c>
      <c r="H18" s="932">
        <f>SUBTOTAL(9,H15:H17)</f>
        <v>0</v>
      </c>
      <c r="I18" s="911">
        <f>SUBTOTAL(9,I15:I17)</f>
        <v>0</v>
      </c>
      <c r="J18" s="867">
        <f>SUBTOTAL(9,J14:J17)</f>
        <v>0</v>
      </c>
      <c r="K18" s="932">
        <f t="shared" ref="K18:S18" si="4">SUBTOTAL(9,K15:K17)</f>
        <v>0</v>
      </c>
      <c r="L18" s="932">
        <f t="shared" si="4"/>
        <v>0</v>
      </c>
      <c r="M18" s="932">
        <f t="shared" si="4"/>
        <v>0</v>
      </c>
      <c r="N18" s="932">
        <f t="shared" si="4"/>
        <v>549</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13380</v>
      </c>
      <c r="Z18" s="932">
        <f t="shared" si="5"/>
        <v>584</v>
      </c>
      <c r="AA18" s="932">
        <f t="shared" si="5"/>
        <v>6082</v>
      </c>
      <c r="AB18" s="932">
        <f t="shared" si="5"/>
        <v>0</v>
      </c>
      <c r="AC18" s="932">
        <f t="shared" si="5"/>
        <v>0</v>
      </c>
      <c r="AD18" s="932">
        <f t="shared" si="5"/>
        <v>0</v>
      </c>
      <c r="AE18" s="932">
        <f t="shared" si="5"/>
        <v>1221</v>
      </c>
      <c r="AF18" s="932">
        <f t="shared" si="5"/>
        <v>0</v>
      </c>
      <c r="AG18" s="932">
        <f t="shared" si="5"/>
        <v>0</v>
      </c>
      <c r="AH18" s="932">
        <f t="shared" si="5"/>
        <v>0</v>
      </c>
      <c r="AI18" s="932">
        <f t="shared" si="5"/>
        <v>0</v>
      </c>
      <c r="AJ18" s="932">
        <f t="shared" si="5"/>
        <v>1214</v>
      </c>
      <c r="AK18" s="932">
        <f t="shared" si="5"/>
        <v>8428</v>
      </c>
      <c r="AL18" s="932">
        <f t="shared" si="5"/>
        <v>0</v>
      </c>
      <c r="AM18" s="932">
        <f t="shared" si="5"/>
        <v>0</v>
      </c>
      <c r="AN18" s="932">
        <f t="shared" si="5"/>
        <v>0</v>
      </c>
      <c r="AO18" s="934">
        <f>IF(ISNUMBER(((NºAsuntos!I18/NºAsuntos!G18)*11)/factor_trimestre),((NºAsuntos!I18/NºAsuntos!G18)*11)/factor_trimestre," - ")</f>
        <v>1.3636771300448431</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41</v>
      </c>
      <c r="F19" s="820">
        <f t="shared" si="7"/>
        <v>6439</v>
      </c>
      <c r="G19" s="820">
        <f t="shared" si="7"/>
        <v>6644</v>
      </c>
      <c r="H19" s="821">
        <f t="shared" si="7"/>
        <v>0</v>
      </c>
      <c r="I19" s="820">
        <f t="shared" si="7"/>
        <v>0</v>
      </c>
      <c r="J19" s="822">
        <f t="shared" si="7"/>
        <v>0</v>
      </c>
      <c r="K19" s="820">
        <f t="shared" si="7"/>
        <v>0</v>
      </c>
      <c r="L19" s="823">
        <f t="shared" si="7"/>
        <v>0</v>
      </c>
      <c r="M19" s="820">
        <f t="shared" si="7"/>
        <v>0</v>
      </c>
      <c r="N19" s="821">
        <f t="shared" si="7"/>
        <v>3849</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13535</v>
      </c>
      <c r="Z19" s="827">
        <f t="shared" si="8"/>
        <v>2530</v>
      </c>
      <c r="AA19" s="828">
        <f t="shared" si="8"/>
        <v>6268</v>
      </c>
      <c r="AB19" s="828">
        <f t="shared" si="8"/>
        <v>0</v>
      </c>
      <c r="AC19" s="828">
        <f t="shared" si="8"/>
        <v>0</v>
      </c>
      <c r="AD19" s="829">
        <f t="shared" si="8"/>
        <v>0</v>
      </c>
      <c r="AE19" s="829">
        <f t="shared" si="8"/>
        <v>38772</v>
      </c>
      <c r="AF19" s="830">
        <f t="shared" si="8"/>
        <v>0</v>
      </c>
      <c r="AG19" s="831">
        <f t="shared" si="8"/>
        <v>0</v>
      </c>
      <c r="AH19" s="832">
        <f t="shared" si="8"/>
        <v>0</v>
      </c>
      <c r="AI19" s="830">
        <f t="shared" si="8"/>
        <v>0</v>
      </c>
      <c r="AJ19" s="820">
        <f t="shared" si="8"/>
        <v>6132</v>
      </c>
      <c r="AK19" s="820">
        <f t="shared" si="8"/>
        <v>12943</v>
      </c>
      <c r="AL19" s="820">
        <f t="shared" si="8"/>
        <v>0</v>
      </c>
      <c r="AM19" s="833">
        <f t="shared" si="8"/>
        <v>0</v>
      </c>
      <c r="AN19" s="823">
        <f>IF(ISNUMBER(Datos!K19/Datos!J19),Datos!K19/Datos!J19," - ")</f>
        <v>1.0139432868557106</v>
      </c>
      <c r="AO19" s="823">
        <f>IF(ISNUMBER(FIND("06",Criterios!A8,1)),(IF(ISNUMBER(((Datos!R19/Datos!Q19)*11)/factor_trimestre),((Datos!R19/Datos!Q19)*11)/factor_trimestre," - ")),(IF(ISNUMBER(((Datos!L19/Datos!K19)*11)/factor_trimestre),((Datos!L19/Datos!K19)*11)/factor_trimestre," - ")))</f>
        <v>3.5419885661310264</v>
      </c>
      <c r="AP19" s="834" t="str">
        <f>IF(ISNUMBER(Datos!CI19/Datos!CJ19),Datos!CI19/Datos!CJ19," - ")</f>
        <v xml:space="preserve"> - </v>
      </c>
      <c r="AQ19" s="834">
        <f>IF(OR(ISNUMBER(FIND("01",Criterios!A8,1)),ISNUMBER(FIND("02",Criterios!A8,1)),ISNUMBER(FIND("03",Criterios!A8,1)),ISNUMBER(FIND("04",Criterios!A8,1))),(J19-Y19+K19)/(F19-K19),(I19-Y19+K19)/(F19-K19))</f>
        <v>-2.1020344774033233</v>
      </c>
      <c r="AR19" s="834">
        <f>IF(ISNUMBER((Datos!P19-Datos!Q19+O19)/(Datos!R19-Datos!P19+Datos!Q19-O19)),(Datos!P19-Datos!Q19+O19)/(Datos!R19-Datos!P19+Datos!Q19-O19)," - ")</f>
        <v>3.5217472565615575E-2</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2657.6</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3484.3088745593914</v>
      </c>
      <c r="G21" s="552">
        <f>IF(ISNUMBER(STDEV(G8:G18)),STDEV(G8:G18),"-")</f>
        <v>3271.846084399448</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2022.2806432342668</v>
      </c>
      <c r="AK21" s="252"/>
      <c r="AL21" s="252">
        <f>IF(ISNUMBER(STDEV(AL8:AL18)),STDEV(AL8:AL18),"-")</f>
        <v>0</v>
      </c>
      <c r="AM21" s="254">
        <f>IF(ISNUMBER(STDEV(AM8:AM18)),STDEV(AM8:AM18),"-")</f>
        <v>0</v>
      </c>
      <c r="AN21" s="539">
        <f>IF(ISNUMBER(STDEV(AN8:AN18)),STDEV(AN8:AN18),"-")</f>
        <v>0</v>
      </c>
      <c r="AO21" s="540">
        <f>IF(ISNUMBER(STDEV(AO8:AO18)),STDEV(AO8:AO18),"-")</f>
        <v>2.1442940746497121</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24 sep. 2025</v>
      </c>
    </row>
    <row r="32" spans="1:78" ht="13.5" thickBot="1">
      <c r="C32" s="536"/>
      <c r="D32" s="527"/>
      <c r="E32" s="527"/>
    </row>
    <row r="33" spans="12:12" ht="15" thickBot="1">
      <c r="L33" s="546"/>
    </row>
  </sheetData>
  <sheetProtection algorithmName="SHA-512" hashValue="vT+erY0J2f+tcrSakyeYMYg9eoylmdH0N6bcB1SbpaVT3Z5+c6ViKhw+u6PH2VwUcChtRm1XfHxdj5t0hlr/Ag==" saltValue="7AgOmTu+qV0mpsvfhyjcF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623</v>
      </c>
      <c r="D3" s="626"/>
      <c r="E3" s="626"/>
      <c r="F3" s="626"/>
      <c r="G3" s="626" t="str">
        <f xml:space="preserve"> "Año: " &amp; Año &amp; "  Trimestres " &amp; TrimIni &amp; " al " &amp; TrimFin</f>
        <v>Año: 2025  Trimestres 2 al 2</v>
      </c>
      <c r="H3" s="627"/>
      <c r="I3" s="627"/>
      <c r="J3" s="627"/>
      <c r="K3" s="628"/>
      <c r="L3" s="628"/>
      <c r="M3" s="628"/>
      <c r="N3" s="628"/>
      <c r="O3" s="628"/>
      <c r="P3" s="628"/>
      <c r="Q3" s="628"/>
    </row>
    <row r="4" spans="1:18" ht="42" customHeight="1" thickBot="1">
      <c r="A4" s="1543" t="s">
        <v>624</v>
      </c>
      <c r="B4" s="1543" t="s">
        <v>728</v>
      </c>
      <c r="C4" s="1543" t="s">
        <v>625</v>
      </c>
      <c r="D4" s="1543" t="s">
        <v>686</v>
      </c>
      <c r="E4" s="1545" t="s">
        <v>687</v>
      </c>
      <c r="F4" s="1543" t="s">
        <v>626</v>
      </c>
      <c r="G4" s="1545" t="s">
        <v>452</v>
      </c>
      <c r="H4" s="1538" t="s">
        <v>627</v>
      </c>
      <c r="I4" s="1538" t="s">
        <v>628</v>
      </c>
      <c r="J4" s="1538" t="s">
        <v>629</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y4bi6PEPtFAx5qkfMzlztvGO/xHhMkKXeh8NZY0JEkh6EgCssJovzcEcVqOKyMW+Tzr3u3/c3e9v0vfsycukGA==" saltValue="dJpEzaN2Hx4W+Cfnszt6a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ARAGON</v>
      </c>
    </row>
    <row r="4" spans="1:156" ht="13.5" thickBot="1">
      <c r="A4" t="str">
        <f>Criterios!A10</f>
        <v>Provincias</v>
      </c>
      <c r="B4" t="str">
        <f>Criterios!B10</f>
        <v>ZARAGOZA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748</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50" t="s">
        <v>744</v>
      </c>
      <c r="ER8" s="50" t="s">
        <v>749</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mz8P53IEfLAed1CldFEpjptNbRCp1/8INVt6w1t73NCrUL6T83cPb6eIAnvpAE8iQymWZ9DA4SDYmmUQZuF0EQ==" saltValue="jQS4LLCjiY12RrY6eRENOQ=="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ARAGON</v>
      </c>
    </row>
    <row r="2" spans="1:78" ht="16.5" customHeight="1">
      <c r="C2" s="488" t="str">
        <f>Criterios!A10 &amp;"  "&amp;Criterios!B10 &amp; "  " &amp; IF(NOT(ISBLANK(Criterios!A11)),Criterios!A11 &amp;"  "&amp;Criterios!B11,"")</f>
        <v>Provincias  ZARAGOZA  Resumenes por Partidos Judiciales  ZARAGOZA</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557</v>
      </c>
      <c r="L5" s="1492" t="s">
        <v>525</v>
      </c>
      <c r="M5" s="1495" t="s">
        <v>583</v>
      </c>
      <c r="N5" s="1492" t="s">
        <v>714</v>
      </c>
      <c r="O5" s="1492" t="s">
        <v>674</v>
      </c>
      <c r="P5" s="1492" t="s">
        <v>168</v>
      </c>
      <c r="Q5" s="1498" t="s">
        <v>671</v>
      </c>
      <c r="R5" s="1498" t="s">
        <v>715</v>
      </c>
      <c r="S5" s="1492" t="s">
        <v>586</v>
      </c>
      <c r="T5" s="1498" t="s">
        <v>558</v>
      </c>
      <c r="U5" s="1498" t="s">
        <v>762</v>
      </c>
      <c r="V5" s="1498" t="s">
        <v>763</v>
      </c>
      <c r="W5" s="1509" t="s">
        <v>608</v>
      </c>
      <c r="X5" s="1527" t="s">
        <v>559</v>
      </c>
      <c r="Y5" s="1509" t="s">
        <v>560</v>
      </c>
      <c r="Z5" s="1509" t="s">
        <v>561</v>
      </c>
      <c r="AA5" s="1492" t="s">
        <v>675</v>
      </c>
      <c r="AB5" s="1492" t="s">
        <v>680</v>
      </c>
      <c r="AC5" s="1492" t="s">
        <v>182</v>
      </c>
      <c r="AD5" s="1515" t="s">
        <v>180</v>
      </c>
      <c r="AE5" s="1492" t="s">
        <v>676</v>
      </c>
      <c r="AF5" s="1518" t="s">
        <v>677</v>
      </c>
      <c r="AG5" s="1521" t="s">
        <v>534</v>
      </c>
      <c r="AH5" s="1492" t="s">
        <v>535</v>
      </c>
      <c r="AI5" s="1492" t="s">
        <v>606</v>
      </c>
      <c r="AJ5" s="1524" t="s">
        <v>607</v>
      </c>
      <c r="AK5" s="1521" t="s">
        <v>183</v>
      </c>
      <c r="AL5" s="1492" t="s">
        <v>565</v>
      </c>
      <c r="AM5" s="1492" t="s">
        <v>247</v>
      </c>
      <c r="AN5" s="1492" t="s">
        <v>248</v>
      </c>
      <c r="AO5" s="1492" t="s">
        <v>249</v>
      </c>
      <c r="AP5" s="1492" t="s">
        <v>566</v>
      </c>
      <c r="AQ5" s="1492" t="s">
        <v>250</v>
      </c>
      <c r="AR5" s="1492" t="s">
        <v>567</v>
      </c>
      <c r="AS5" s="1492" t="s">
        <v>568</v>
      </c>
      <c r="AT5" s="1492" t="s">
        <v>569</v>
      </c>
      <c r="AU5" s="1492" t="s">
        <v>594</v>
      </c>
      <c r="AV5" s="1492" t="s">
        <v>587</v>
      </c>
      <c r="AW5" s="1492" t="s">
        <v>828</v>
      </c>
      <c r="AX5" s="1492" t="s">
        <v>831</v>
      </c>
      <c r="AY5" s="1492" t="s">
        <v>833</v>
      </c>
      <c r="AZ5" s="1492" t="s">
        <v>588</v>
      </c>
      <c r="BA5" s="1492" t="s">
        <v>849</v>
      </c>
      <c r="BB5" s="1492" t="s">
        <v>570</v>
      </c>
      <c r="BC5" s="1492" t="s">
        <v>533</v>
      </c>
      <c r="BW5" s="1492" t="s">
        <v>764</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0.37593640116190186</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0.26582717855644711</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24 sep. 2025</v>
      </c>
    </row>
    <row r="32" spans="1:78">
      <c r="C32" s="774"/>
      <c r="D32" s="774"/>
    </row>
  </sheetData>
  <sheetProtection algorithmName="SHA-512" hashValue="Mdi4p6gbxXodbGIxn0N30sIS+5aJxdqLBPsHUj9Ir5lvhBjZdOe9kd0JF2g2tzwiiATi6WJeVDV8iYqAfKLVqQ==" saltValue="WSKPfqdeAWWS0V10FR5iH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806</v>
      </c>
    </row>
    <row r="3" spans="2:5" ht="16.5" customHeight="1" thickBot="1">
      <c r="B3" s="1140" t="s">
        <v>807</v>
      </c>
      <c r="C3" s="1140" t="s">
        <v>808</v>
      </c>
      <c r="D3" s="1140" t="s">
        <v>809</v>
      </c>
      <c r="E3" s="1148" t="s">
        <v>814</v>
      </c>
    </row>
  </sheetData>
  <sheetProtection algorithmName="SHA-512" hashValue="99SCEwVfFKCrDGcGkzouvpapxis8BZ+oV7TuysW73Y5mMIJZwnWCA+UI2thJoSDloE3ollW/IGTSJjCYeDDORg==" saltValue="ORIF+xIobzLNdl0HjYbhw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T10" sqref="T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ARAGON</v>
      </c>
      <c r="C2" s="375"/>
      <c r="D2" s="375"/>
      <c r="E2" s="375"/>
      <c r="F2" s="375"/>
    </row>
    <row r="3" spans="1:69" ht="19.5">
      <c r="A3" s="390" t="s">
        <v>115</v>
      </c>
      <c r="B3" s="391" t="str">
        <f>Criterios!A10 &amp;"  "&amp;Criterios!B10</f>
        <v>Provincias  ZARAGOZA</v>
      </c>
      <c r="D3" s="375"/>
      <c r="E3" s="375"/>
      <c r="F3" s="375"/>
      <c r="BQ3" s="471"/>
    </row>
    <row r="4" spans="1:69" ht="13.5" thickBot="1">
      <c r="A4" s="375"/>
      <c r="B4" s="391" t="str">
        <f>Criterios!A11 &amp;"  "&amp;Criterios!B11</f>
        <v>Resumenes por Partidos Judiciales  ZARAGOZA</v>
      </c>
      <c r="C4" s="375"/>
      <c r="D4" s="375"/>
      <c r="E4" s="375"/>
      <c r="F4" s="375"/>
      <c r="BQ4" s="471"/>
    </row>
    <row r="5" spans="1:69" ht="15.75" customHeight="1">
      <c r="A5" s="1198" t="str">
        <f>"Año:  " &amp;Criterios!B5 &amp; "     Trimestre   " &amp;Criterios!D5 &amp; " al " &amp;Criterios!D6</f>
        <v>Año:  2025     Trimestre   2 al 2</v>
      </c>
      <c r="B5" s="791" t="s">
        <v>116</v>
      </c>
      <c r="C5" s="1200" t="s">
        <v>128</v>
      </c>
      <c r="D5" s="1201"/>
      <c r="E5" s="1200" t="s">
        <v>92</v>
      </c>
      <c r="F5" s="1201"/>
      <c r="G5" s="1200" t="s">
        <v>9</v>
      </c>
      <c r="H5" s="1201"/>
      <c r="I5" s="1200" t="s">
        <v>129</v>
      </c>
      <c r="J5" s="1201"/>
      <c r="K5" s="1207" t="s">
        <v>742</v>
      </c>
      <c r="L5" s="1191" t="s">
        <v>786</v>
      </c>
      <c r="M5" s="1191" t="s">
        <v>845</v>
      </c>
      <c r="N5" s="1194" t="s">
        <v>741</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736</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19</v>
      </c>
      <c r="C9" s="403">
        <f>IF(ISNUMBER(IF(J_V="SI",Datos!I9,Datos!I9+Datos!Y9)),IF(J_V="SI",Datos!I9,Datos!I9+Datos!Y9)," - ")</f>
        <v>22879</v>
      </c>
      <c r="D9" s="404">
        <f>IF(ISNUMBER(C9/Datos!BH9),C9/Datos!BH9," - ")</f>
        <v>1204.1578947368421</v>
      </c>
      <c r="E9" s="403">
        <f>IF(ISNUMBER(IF(J_V="SI",Datos!J9,Datos!J9+Datos!Z9)),IF(J_V="SI",Datos!J9,Datos!J9+Datos!Z9)," - ")</f>
        <v>12344</v>
      </c>
      <c r="F9" s="404">
        <f>IF(ISNUMBER(E9/B9),E9/B9," - ")</f>
        <v>649.68421052631584</v>
      </c>
      <c r="G9" s="403">
        <f>IF(ISNUMBER(IF(J_V="SI",Datos!K9,Datos!K9+Datos!AA9)),IF(J_V="SI",Datos!K9,Datos!K9+Datos!AA9)," - ")</f>
        <v>11713</v>
      </c>
      <c r="H9" s="404">
        <f>IF(ISNUMBER(G9/B9),G9/B9," - ")</f>
        <v>616.47368421052636</v>
      </c>
      <c r="I9" s="403">
        <f>IF(ISNUMBER(IF(J_V="SI",Datos!L9,Datos!L9+Datos!AB9)),IF(J_V="SI",Datos!L9,Datos!L9+Datos!AB9)," - ")</f>
        <v>23649</v>
      </c>
      <c r="J9" s="404">
        <f>IF(ISNUMBER(I9/B9),I9/B9," - ")</f>
        <v>1244.6842105263158</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3</v>
      </c>
      <c r="C10" s="403">
        <f>IF(ISNUMBER(Datos!I10),Datos!I10," - ")</f>
        <v>202</v>
      </c>
      <c r="D10" s="404">
        <f>IF(ISNUMBER(C10/Datos!BH10),C10/Datos!BH10," - ")</f>
        <v>67.333333333333329</v>
      </c>
      <c r="E10" s="403">
        <f>IF(ISNUMBER(Datos!J10),Datos!J10," - ")</f>
        <v>139</v>
      </c>
      <c r="F10" s="404">
        <f>IF(ISNUMBER(E10/B10),E10/B10," - ")</f>
        <v>46.333333333333336</v>
      </c>
      <c r="G10" s="403">
        <f>IF(ISNUMBER(Datos!K10),Datos!K10," - ")</f>
        <v>155</v>
      </c>
      <c r="H10" s="404">
        <f>IF(ISNUMBER(G10/B10),G10/B10," - ")</f>
        <v>51.666666666666664</v>
      </c>
      <c r="I10" s="403">
        <f>IF(ISNUMBER(Datos!L10),Datos!L10," - ")</f>
        <v>186</v>
      </c>
      <c r="J10" s="404">
        <f>IF(ISNUMBER(I10/B10),I10/B10," - ")</f>
        <v>62</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4</v>
      </c>
      <c r="C11" s="403">
        <f>IF(ISNUMBER(IF(J_V="SI",Datos!I11,Datos!I11+Datos!Y11)),IF(J_V="SI",Datos!I11,Datos!I11+Datos!Y11)," - ")</f>
        <v>1387</v>
      </c>
      <c r="D11" s="404">
        <f>IF(ISNUMBER(C11/Datos!BH11),C11/Datos!BH11," - ")</f>
        <v>346.75</v>
      </c>
      <c r="E11" s="403">
        <f>IF(ISNUMBER(IF(J_V="SI",Datos!J11,Datos!J11+Datos!Z11)),IF(J_V="SI",Datos!J11,Datos!J11+Datos!Z11)," - ")</f>
        <v>1050</v>
      </c>
      <c r="F11" s="404">
        <f>IF(ISNUMBER(E11/B11),E11/B11," - ")</f>
        <v>262.5</v>
      </c>
      <c r="G11" s="403">
        <f>IF(ISNUMBER(IF(J_V="SI",Datos!K11,Datos!K11+Datos!AA11)),IF(J_V="SI",Datos!K11,Datos!K11+Datos!AA11)," - ")</f>
        <v>1214</v>
      </c>
      <c r="H11" s="404">
        <f>IF(ISNUMBER(G11/B11),G11/B11," - ")</f>
        <v>303.5</v>
      </c>
      <c r="I11" s="403">
        <f>IF(ISNUMBER(IF(J_V="SI",Datos!L11,Datos!L11+Datos!AB11)),IF(J_V="SI",Datos!L11,Datos!L11+Datos!AB11)," - ")</f>
        <v>1223</v>
      </c>
      <c r="J11" s="404">
        <f>IF(ISNUMBER(I11/B11),I11/B11," - ")</f>
        <v>305.75</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0</v>
      </c>
      <c r="C12" s="403" t="str">
        <f>IF(ISNUMBER(IF(J_V="SI",Datos!I12,Datos!I12+Datos!Y12)),IF(J_V="SI",Datos!I12,Datos!I12+Datos!Y12)," - ")</f>
        <v xml:space="preserve"> - </v>
      </c>
      <c r="D12" s="404" t="str">
        <f>IF(ISNUMBER(C12/Datos!BH12),C12/Datos!BH12," - ")</f>
        <v xml:space="preserve"> - </v>
      </c>
      <c r="E12" s="403" t="str">
        <f>IF(ISNUMBER(IF(J_V="SI",Datos!J12,Datos!J12+Datos!Z12)),IF(J_V="SI",Datos!J12,Datos!J12+Datos!Z12)," - ")</f>
        <v xml:space="preserve"> - </v>
      </c>
      <c r="F12" s="404" t="str">
        <f>IF(ISNUMBER(E12/B12),E12/B12," - ")</f>
        <v xml:space="preserve"> - </v>
      </c>
      <c r="G12" s="403" t="str">
        <f>IF(ISNUMBER(IF(J_V="SI",Datos!K12,Datos!K12+Datos!AA12)),IF(J_V="SI",Datos!K12,Datos!K12+Datos!AA12)," - ")</f>
        <v xml:space="preserve"> - </v>
      </c>
      <c r="H12" s="404" t="str">
        <f>IF(ISNUMBER(G12/B12),G12/B12," - ")</f>
        <v xml:space="preserve"> - </v>
      </c>
      <c r="I12" s="403" t="str">
        <f>IF(ISNUMBER(IF(J_V="SI",Datos!L12,Datos!L12+Datos!AB12)),IF(J_V="SI",Datos!L12,Datos!L12+Datos!AB12)," - ")</f>
        <v xml:space="preserve"> - </v>
      </c>
      <c r="J12" s="404" t="str">
        <f>IF(ISNUMBER(I12/B12),I12/B12," - ")</f>
        <v xml:space="preserve"> - </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26</v>
      </c>
      <c r="C13" s="849">
        <f>SUBTOTAL(9,C8:C12)</f>
        <v>24468</v>
      </c>
      <c r="D13" s="850" t="str">
        <f>IF(ISNUMBER(C13/Datos!BI13),C13/Datos!BI13," - ")</f>
        <v xml:space="preserve"> - </v>
      </c>
      <c r="E13" s="849">
        <f>SUBTOTAL(9,E8:E12)</f>
        <v>13533</v>
      </c>
      <c r="F13" s="850">
        <f>IF(ISNUMBER(E13/B13),E13/B13," - ")</f>
        <v>520.5</v>
      </c>
      <c r="G13" s="849">
        <f>SUBTOTAL(9,G8:G12)</f>
        <v>13082</v>
      </c>
      <c r="H13" s="850">
        <f>IF(ISNUMBER(G13/B13),G13/B13," - ")</f>
        <v>503.15384615384613</v>
      </c>
      <c r="I13" s="849">
        <f>SUBTOTAL(9,I8:I12)</f>
        <v>25058</v>
      </c>
      <c r="J13" s="850">
        <f>IF(ISNUMBER(I13/B13),I13/B13," - ")</f>
        <v>963.76923076923072</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12</v>
      </c>
      <c r="C15" s="403">
        <f>IF(ISNUMBER(IF(D_I="SI",Datos!I15,Datos!I15+Datos!AC15)),IF(D_I="SI",Datos!I15,Datos!I15+Datos!AC15)," - ")</f>
        <v>6032</v>
      </c>
      <c r="D15" s="404">
        <f>IF(ISNUMBER(C15/Datos!BH15),C15/Datos!BH15," - ")</f>
        <v>502.66666666666669</v>
      </c>
      <c r="E15" s="403">
        <f>IF(ISNUMBER(IF(D_I="SI",Datos!J15,Datos!J15+Datos!AD15)),IF(D_I="SI",Datos!J15,Datos!J15+Datos!AD15)," - ")</f>
        <v>11516</v>
      </c>
      <c r="F15" s="404">
        <f>IF(ISNUMBER(E15/B15),E15/B15," - ")</f>
        <v>959.66666666666663</v>
      </c>
      <c r="G15" s="403">
        <f>IF(ISNUMBER(IF(D_I="SI",Datos!K15,Datos!K15+Datos!AE15)),IF(D_I="SI",Datos!K15,Datos!K15+Datos!AE15)," - ")</f>
        <v>11989</v>
      </c>
      <c r="H15" s="404">
        <f>IF(ISNUMBER(G15/B15),G15/B15," - ")</f>
        <v>999.08333333333337</v>
      </c>
      <c r="I15" s="403">
        <f>IF(ISNUMBER(IF(D_I="SI",Datos!L15,Datos!L15+Datos!AF15)),IF(D_I="SI",Datos!L15,Datos!L15+Datos!AF15)," - ")</f>
        <v>5764</v>
      </c>
      <c r="J15" s="404">
        <f>IF(ISNUMBER(I15/B15),I15/B15," - ")</f>
        <v>480.33333333333331</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0</v>
      </c>
      <c r="C16" s="403" t="str">
        <f>IF(ISNUMBER(IF(D_I="SI",Datos!I16,Datos!I16+Datos!AC16)),IF(D_I="SI",Datos!I16,Datos!I16+Datos!AC16)," - ")</f>
        <v xml:space="preserve"> - </v>
      </c>
      <c r="D16" s="404" t="str">
        <f>IF(ISNUMBER(C16/Datos!BH16),C16/Datos!BH16," - ")</f>
        <v xml:space="preserve"> - </v>
      </c>
      <c r="E16" s="403" t="str">
        <f>IF(ISNUMBER(IF(D_I="SI",Datos!J16,Datos!J16+Datos!AD16)),IF(D_I="SI",Datos!J16,Datos!J16+Datos!AD16)," - ")</f>
        <v xml:space="preserve"> - </v>
      </c>
      <c r="F16" s="404" t="str">
        <f>IF(ISNUMBER(E16/B16),E16/B16," - ")</f>
        <v xml:space="preserve"> - </v>
      </c>
      <c r="G16" s="403" t="str">
        <f>IF(ISNUMBER(IF(D_I="SI",Datos!K16,Datos!K16+Datos!AE16)),IF(D_I="SI",Datos!K16,Datos!K16+Datos!AE16)," - ")</f>
        <v xml:space="preserve"> - </v>
      </c>
      <c r="H16" s="404" t="str">
        <f>IF(ISNUMBER(G16/B16),G16/B16," - ")</f>
        <v xml:space="preserve"> - </v>
      </c>
      <c r="I16" s="403" t="str">
        <f>IF(ISNUMBER(IF(D_I="SI",Datos!L16,Datos!L16+Datos!AF16)),IF(D_I="SI",Datos!L16,Datos!L16+Datos!AF16)," - ")</f>
        <v xml:space="preserve"> - </v>
      </c>
      <c r="J16" s="404" t="str">
        <f>IF(ISNUMBER(I16/B16),I16/B16," - ")</f>
        <v xml:space="preserve"> - </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3</v>
      </c>
      <c r="C17" s="403">
        <f>IF(ISNUMBER(IF(D_I="SI",Datos!I17,Datos!I17+Datos!AC17)),IF(D_I="SI",Datos!I17,Datos!I17+Datos!AC17)," - ")</f>
        <v>410</v>
      </c>
      <c r="D17" s="404">
        <f>IF(ISNUMBER(C17/Datos!BH17),C17/Datos!BH17," - ")</f>
        <v>136.66666666666666</v>
      </c>
      <c r="E17" s="403">
        <f>IF(ISNUMBER(IF(D_I="SI",Datos!J17,Datos!J17+Datos!AD17)),IF(D_I="SI",Datos!J17,Datos!J17+Datos!AD17)," - ")</f>
        <v>1256</v>
      </c>
      <c r="F17" s="404">
        <f>IF(ISNUMBER(E17/B17),E17/B17," - ")</f>
        <v>418.66666666666669</v>
      </c>
      <c r="G17" s="403">
        <f>IF(ISNUMBER(IF(D_I="SI",Datos!K17,Datos!K17+Datos!AE17)),IF(D_I="SI",Datos!K17,Datos!K17+Datos!AE17)," - ")</f>
        <v>1391</v>
      </c>
      <c r="H17" s="404">
        <f>IF(ISNUMBER(G17/B17),G17/B17," - ")</f>
        <v>463.66666666666669</v>
      </c>
      <c r="I17" s="403">
        <f>IF(ISNUMBER(IF(D_I="SI",Datos!L17,Datos!L17+Datos!AF17)),IF(D_I="SI",Datos!L17,Datos!L17+Datos!AF17)," - ")</f>
        <v>318</v>
      </c>
      <c r="J17" s="404">
        <f>IF(ISNUMBER(I17/B17),I17/B17," - ")</f>
        <v>106</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15</v>
      </c>
      <c r="C18" s="849">
        <f>SUBTOTAL(9,C14:C17)</f>
        <v>6442</v>
      </c>
      <c r="D18" s="850" t="str">
        <f>IF(ISNUMBER(C18/Datos!BI18),C18/Datos!BI18," - ")</f>
        <v xml:space="preserve"> - </v>
      </c>
      <c r="E18" s="849">
        <f>SUBTOTAL(9,E14:E17)</f>
        <v>12772</v>
      </c>
      <c r="F18" s="850">
        <f>IF(ISNUMBER(E18/B18),E18/B18," - ")</f>
        <v>851.4666666666667</v>
      </c>
      <c r="G18" s="849">
        <f>SUBTOTAL(9,G14:G17)</f>
        <v>13380</v>
      </c>
      <c r="H18" s="850">
        <f>IF(ISNUMBER(G18/B18),G18/B18," - ")</f>
        <v>892</v>
      </c>
      <c r="I18" s="849">
        <f>SUBTOTAL(9,I14:I17)</f>
        <v>6082</v>
      </c>
      <c r="J18" s="850">
        <f>IF(ISNUMBER(I18/B18),I18/B18," - ")</f>
        <v>405.46666666666664</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38</v>
      </c>
      <c r="C19" s="794">
        <f>SUBTOTAL(9,C9:C18)</f>
        <v>30910</v>
      </c>
      <c r="D19" s="795" t="str">
        <f>IF(ISNUMBER(C19/Datos!BI19),C19/Datos!BI19," - ")</f>
        <v xml:space="preserve"> - </v>
      </c>
      <c r="E19" s="794">
        <f>SUBTOTAL(9,E9:E18)</f>
        <v>26305</v>
      </c>
      <c r="F19" s="795">
        <f>IF(ISNUMBER(E19/B19),E19/B19," - ")</f>
        <v>692.23684210526312</v>
      </c>
      <c r="G19" s="794">
        <f>SUBTOTAL(9,G9:G18)</f>
        <v>26462</v>
      </c>
      <c r="H19" s="795">
        <f>IF(ISNUMBER(G19/B19),G19/B19," - ")</f>
        <v>696.36842105263156</v>
      </c>
      <c r="I19" s="794">
        <f>SUBTOTAL(9,I9:I18)</f>
        <v>31140</v>
      </c>
      <c r="J19" s="795">
        <f>IF(ISNUMBER(I19/B19),I19/B19," - ")</f>
        <v>819.47368421052636</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24 sep. 2025</v>
      </c>
    </row>
    <row r="27" spans="1:69">
      <c r="A27" s="414"/>
    </row>
  </sheetData>
  <sheetProtection algorithmName="SHA-512" hashValue="BSHUmxxhvpa7QM6P+2DuflvU+mJwYdmBusy2cQrBg5cCauU65jhxlOdVoX6AZqPypnxAg/Ggns74q71tkG24vA==" saltValue="4X2oz+or+YKkINwn6dN2b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ARAGON</v>
      </c>
      <c r="W1"/>
      <c r="X1"/>
    </row>
    <row r="2" spans="1:78" ht="16.5" customHeight="1">
      <c r="C2" s="488" t="str">
        <f>Criterios!A10 &amp;"  "&amp;Criterios!B10 &amp; "  " &amp; IF(NOT(ISBLANK(Criterios!A11)),Criterios!A11 &amp;"  "&amp;Criterios!B11,"")</f>
        <v>Provincias  ZARAGOZA  Resumenes por Partidos Judiciales  ZARAGOZA</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2025          Trimestre   2 al 2</v>
      </c>
      <c r="D5" s="1492" t="s">
        <v>424</v>
      </c>
      <c r="E5" s="1492" t="s">
        <v>555</v>
      </c>
      <c r="F5" s="1503" t="s">
        <v>406</v>
      </c>
      <c r="G5" s="1492" t="s">
        <v>128</v>
      </c>
      <c r="H5" s="1492" t="s">
        <v>688</v>
      </c>
      <c r="I5" s="1492" t="s">
        <v>689</v>
      </c>
      <c r="J5" s="1492" t="s">
        <v>692</v>
      </c>
      <c r="K5" s="1492" t="s">
        <v>693</v>
      </c>
      <c r="L5" s="1492" t="s">
        <v>583</v>
      </c>
      <c r="M5" s="1492" t="s">
        <v>714</v>
      </c>
      <c r="N5" s="1492" t="s">
        <v>694</v>
      </c>
      <c r="O5" s="1492" t="s">
        <v>690</v>
      </c>
      <c r="P5" s="1492" t="s">
        <v>168</v>
      </c>
      <c r="Q5" s="1492" t="s">
        <v>671</v>
      </c>
      <c r="R5" s="1492" t="s">
        <v>715</v>
      </c>
      <c r="S5" s="1492" t="str">
        <f>"Ingreso Computable 2003" &amp; IF(OR(EXACT(LEFT(boletin,2),"04"),EXACT(LEFT(boletin,2),"14"),EXACT(LEFT(boletin,2),"17"))," (Civil + Penal)","")</f>
        <v>Ingreso Computable 2003</v>
      </c>
      <c r="T5" s="1492" t="s">
        <v>691</v>
      </c>
      <c r="U5" s="1498" t="str">
        <f>"% Ingreso Computable 2003" &amp; IF(OR(EXACT(LEFT(boletin,2),"04"),EXACT(LEFT(boletin,2),"14"),EXACT(LEFT(boletin,2),"17"))," (Civil + Penal)","")</f>
        <v>% Ingreso Computable 2003</v>
      </c>
      <c r="V5" s="1498" t="s">
        <v>695</v>
      </c>
      <c r="W5" s="1492" t="s">
        <v>756</v>
      </c>
      <c r="X5" s="1492" t="s">
        <v>757</v>
      </c>
      <c r="Y5" s="1512" t="s">
        <v>662</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696</v>
      </c>
      <c r="AC5" s="1549" t="s">
        <v>697</v>
      </c>
      <c r="AD5" s="1549" t="s">
        <v>698</v>
      </c>
      <c r="AE5" s="1549" t="s">
        <v>699</v>
      </c>
      <c r="AF5" s="1492" t="s">
        <v>700</v>
      </c>
      <c r="AG5" s="1492" t="s">
        <v>701</v>
      </c>
      <c r="AH5" s="1492" t="s">
        <v>702</v>
      </c>
      <c r="AI5" s="1492" t="s">
        <v>703</v>
      </c>
      <c r="AJ5" s="1492" t="s">
        <v>182</v>
      </c>
      <c r="AK5" s="1521" t="s">
        <v>534</v>
      </c>
      <c r="AL5" s="1521" t="s">
        <v>183</v>
      </c>
      <c r="AM5" s="1492" t="s">
        <v>565</v>
      </c>
      <c r="AN5" s="1492" t="s">
        <v>247</v>
      </c>
      <c r="AO5" s="1492" t="s">
        <v>248</v>
      </c>
      <c r="AP5" s="1492" t="s">
        <v>704</v>
      </c>
      <c r="AQ5" s="1492" t="s">
        <v>705</v>
      </c>
      <c r="AR5" s="1492" t="s">
        <v>706</v>
      </c>
      <c r="AS5" s="1492" t="s">
        <v>707</v>
      </c>
      <c r="AT5" s="1492" t="s">
        <v>708</v>
      </c>
      <c r="AU5" s="1492" t="s">
        <v>709</v>
      </c>
      <c r="AV5" s="1492" t="s">
        <v>710</v>
      </c>
      <c r="AW5" s="1492" t="s">
        <v>711</v>
      </c>
      <c r="AX5" s="1492" t="s">
        <v>828</v>
      </c>
      <c r="AY5" s="1492" t="s">
        <v>831</v>
      </c>
      <c r="AZ5" s="1492" t="s">
        <v>712</v>
      </c>
      <c r="BA5" s="1492" t="s">
        <v>713</v>
      </c>
      <c r="BB5" s="1492" t="s">
        <v>533</v>
      </c>
      <c r="BC5" s="1325" t="s">
        <v>720</v>
      </c>
      <c r="BD5" s="1325" t="s">
        <v>721</v>
      </c>
      <c r="BE5" s="1503" t="s">
        <v>722</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19</v>
      </c>
      <c r="B9" s="501" t="s">
        <v>246</v>
      </c>
      <c r="C9" s="160" t="str">
        <f>Datos!A9</f>
        <v xml:space="preserve">Jdos. 1ª Instancia   </v>
      </c>
      <c r="D9" s="502"/>
      <c r="E9" s="682">
        <f>IF(ISNUMBER(Datos!AQ9),Datos!AQ9," - ")</f>
        <v>19</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3</v>
      </c>
      <c r="B10" s="507" t="s">
        <v>246</v>
      </c>
      <c r="C10" s="7" t="str">
        <f>Datos!A10</f>
        <v>Jdos. Violencia contra la mujer</v>
      </c>
      <c r="D10" s="508"/>
      <c r="E10" s="682">
        <f>IF(ISNUMBER(Datos!AQ10),Datos!AQ10," - ")</f>
        <v>3</v>
      </c>
      <c r="F10" s="683">
        <f>IF(ISNUMBER(Datos!L10+Datos!K10-Datos!J10),Datos!L10+Datos!K10-Datos!J10," - ")</f>
        <v>202</v>
      </c>
      <c r="G10" s="684">
        <f>IF(ISNUMBER(Datos!I10),Datos!I10," - ")</f>
        <v>202</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33</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f>IF(ISNUMBER(DatosP!AS17/E10),DatosP!AS17/E10," - ")</f>
        <v>0</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155</v>
      </c>
      <c r="AC10" s="683" t="str">
        <f>IF(ISNUMBER(IF(D_I="SI",DatosP!K17,DatosP!K17+DatosP!AE17)),IF(D_I="SI",DatosP!K17,DatosP!K17+DatosP!AE17)," - ")</f>
        <v xml:space="preserve"> - </v>
      </c>
      <c r="AD10" s="685"/>
      <c r="AE10" s="685"/>
      <c r="AF10" s="688">
        <f>IF(ISNUMBER(Datos!L10),Datos!L10,"-")</f>
        <v>186</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49</v>
      </c>
      <c r="AM10" s="690">
        <f>IF(ISNUMBER(Datos!N10+DatosP!N17),Datos!N10+DatosP!N17," - ")</f>
        <v>83</v>
      </c>
      <c r="AN10" s="690">
        <f>IF(ISNUMBER(Datos!BW10+DatosP!BW17),Datos!BW10+DatosP!BW17," - ")</f>
        <v>0</v>
      </c>
      <c r="AO10" s="691">
        <f>IF(ISNUMBER(Datos!BX10+DatosP!BX17),Datos!BX10+DatosP!BX17," - ")</f>
        <v>0</v>
      </c>
      <c r="AP10" s="693">
        <f>IF(ISNUMBER(((Datos!L10/Datos!K10)*11)/factor_trimestre),((Datos!L10/Datos!K10)*11)/factor_trimestre," - ")</f>
        <v>3.6</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4</v>
      </c>
      <c r="B11" s="507" t="s">
        <v>246</v>
      </c>
      <c r="C11" s="7" t="str">
        <f>Datos!A11</f>
        <v xml:space="preserve">Jdos. Familia                                   </v>
      </c>
      <c r="D11" s="508"/>
      <c r="E11" s="682">
        <f>IF(ISNUMBER(Datos!AQ11),Datos!AQ11," - ")</f>
        <v>4</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0</v>
      </c>
      <c r="B12" s="507" t="s">
        <v>246</v>
      </c>
      <c r="C12" s="7" t="str">
        <f>Datos!A12</f>
        <v xml:space="preserve">Jdos. 1ª Instª. e Instr.                        </v>
      </c>
      <c r="D12" s="508"/>
      <c r="E12" s="682">
        <f>IF(ISNUMBER(Datos!AQ12),Datos!AQ12," - ")</f>
        <v>0</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0</v>
      </c>
      <c r="O12" s="685">
        <f>IF(ISNUMBER(DatosP!P16),DatosP!P16,0)</f>
        <v>0</v>
      </c>
      <c r="P12" s="685" t="str">
        <f>IF(ISNUMBER(DatosP!DE16),DatosP!DE16," - ")</f>
        <v xml:space="preserve"> - </v>
      </c>
      <c r="Q12" s="686"/>
      <c r="R12" s="686"/>
      <c r="S12" s="685" t="str">
        <f>IF(ISNUMBER(Datos!AS12*(2500/380)+DatosP!AS16),Datos!AS12*(2500/380)+DatosP!AS16," - ")</f>
        <v xml:space="preserve"> - </v>
      </c>
      <c r="T12" s="685" t="str">
        <f>IF(ISNUMBER(DatosP!AS16/E12),DatosP!AS16/E12," - ")</f>
        <v xml:space="preserve"> - </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t="str">
        <f>IF(ISNUMBER(Datos!Q12),Datos!Q12," - ")</f>
        <v xml:space="preserve"> - </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t="str">
        <f>IF(ISNUMBER(Datos!R12),Datos!R12," - ")</f>
        <v xml:space="preserve"> - </v>
      </c>
      <c r="AI12" s="689" t="str">
        <f>IF(ISNUMBER(DatosP!R16),DatosP!R16," - ")</f>
        <v xml:space="preserve"> - </v>
      </c>
      <c r="AJ12" s="682">
        <f>IF(ISNUMBER(Datos!BV12+DatosP!BV16),Datos!BV12+DatosP!BV16," - ")</f>
        <v>0</v>
      </c>
      <c r="AK12" s="672" t="str">
        <f>IF(ISNUMBER(Datos!DV12),Datos!DV12," - ")</f>
        <v xml:space="preserve"> - </v>
      </c>
      <c r="AL12" s="683" t="str">
        <f>IF(ISNUMBER(Datos!M12+DatosP!M16),Datos!M12+DatosP!M16," - ")</f>
        <v xml:space="preserve"> - </v>
      </c>
      <c r="AM12" s="690" t="str">
        <f>IF(ISNUMBER(Datos!N12+DatosP!N16),Datos!N12+DatosP!N16," - ")</f>
        <v xml:space="preserve"> - </v>
      </c>
      <c r="AN12" s="690">
        <f>IF(ISNUMBER(Datos!BW12+DatosP!BW16),Datos!BW12+DatosP!BW16," - ")</f>
        <v>0</v>
      </c>
      <c r="AO12" s="691">
        <f>IF(ISNUMBER(Datos!BX12+DatosP!BX16),Datos!BX12+DatosP!BX16," - ")</f>
        <v>0</v>
      </c>
      <c r="AP12" s="693" t="str">
        <f>IF(ISNUMBER(((IF(J_V="SI",Datos!L12/Datos!K12,(Datos!L12+Datos!AB12)/(Datos!K12+Datos!AA12)))*11)/factor_trimestre),((IF(J_V="SI",Datos!L12/Datos!K12,(Datos!L12+Datos!AB12)/(Datos!K12+Datos!AA12)))*11)/factor_trimestre," - ")</f>
        <v xml:space="preserve"> - </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t="str">
        <f>IF(ISNUMBER((Datos!P12-Datos!Q12+Datos!DE12)/(Datos!R12-Datos!P12+Datos!Q12-Datos!DE12)),(Datos!P12-Datos!Q12+Datos!DE12)/(Datos!R12-Datos!P12+Datos!Q12-Datos!DE12)," - ")</f>
        <v xml:space="preserve"> - </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26</v>
      </c>
      <c r="F13" s="938">
        <f t="shared" si="0"/>
        <v>202</v>
      </c>
      <c r="G13" s="938">
        <f t="shared" si="0"/>
        <v>202</v>
      </c>
      <c r="H13" s="938">
        <f t="shared" si="0"/>
        <v>0</v>
      </c>
      <c r="I13" s="940">
        <f t="shared" si="0"/>
        <v>0</v>
      </c>
      <c r="J13" s="939">
        <f t="shared" si="0"/>
        <v>0</v>
      </c>
      <c r="K13" s="939">
        <f t="shared" si="0"/>
        <v>0</v>
      </c>
      <c r="L13" s="941">
        <f t="shared" si="0"/>
        <v>0</v>
      </c>
      <c r="M13" s="941">
        <f t="shared" si="0"/>
        <v>0</v>
      </c>
      <c r="N13" s="939">
        <f t="shared" si="0"/>
        <v>33</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155</v>
      </c>
      <c r="AC13" s="939">
        <f t="shared" si="1"/>
        <v>0</v>
      </c>
      <c r="AD13" s="939">
        <f t="shared" si="1"/>
        <v>0</v>
      </c>
      <c r="AE13" s="939">
        <f t="shared" si="1"/>
        <v>0</v>
      </c>
      <c r="AF13" s="939">
        <f t="shared" si="1"/>
        <v>186</v>
      </c>
      <c r="AG13" s="939">
        <f t="shared" si="1"/>
        <v>0</v>
      </c>
      <c r="AH13" s="939">
        <f t="shared" si="1"/>
        <v>0</v>
      </c>
      <c r="AI13" s="939">
        <f t="shared" si="1"/>
        <v>0</v>
      </c>
      <c r="AJ13" s="939">
        <f t="shared" si="1"/>
        <v>0</v>
      </c>
      <c r="AK13" s="939">
        <f t="shared" si="1"/>
        <v>0</v>
      </c>
      <c r="AL13" s="939">
        <f t="shared" si="1"/>
        <v>49</v>
      </c>
      <c r="AM13" s="939">
        <f t="shared" si="1"/>
        <v>83</v>
      </c>
      <c r="AN13" s="939">
        <f t="shared" si="1"/>
        <v>0</v>
      </c>
      <c r="AO13" s="939">
        <f t="shared" si="1"/>
        <v>0</v>
      </c>
      <c r="AP13" s="944">
        <f>IF(ISNUMBER(((Datos!L13/Datos!K13)*11)/factor_trimestre),((Datos!L13/Datos!K13)*11)/factor_trimestre," - ")</f>
        <v>5.8721618164374805</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-0.76732673267326734</v>
      </c>
      <c r="AU13" s="939" t="str">
        <f>IF(ISNUMBER((DatosP!#REF!-DatosP!#REF!+DatosP!#REF!)/(DatosP!#REF!+DatosP!#REF!-DatosP!#REF!-DatosP!#REF!)),(DatosP!#REF!-DatosP!#REF!+DatosP!#REF!)/(DatosP!#REF!+DatosP!#REF!-DatosP!#REF!-DatosP!#REF!)," - ")</f>
        <v xml:space="preserve"> - </v>
      </c>
      <c r="AV13" s="945">
        <f>SUBTOTAL(9,AV9:AV12)</f>
        <v>0</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12</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0</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3</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1.3636771300448431</v>
      </c>
      <c r="AQ18" s="944">
        <f>IF(ISNUMBER(((Datos!M18/Datos!L18)*11)/factor_trimestre),((Datos!M18/Datos!L18)*11)/factor_trimestre," - ")</f>
        <v>0.59881617888852356</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-2.7866242038216561E-2</v>
      </c>
      <c r="AW18" s="946">
        <f>IF(ISNUMBER((Datos!Q18-Datos!R18)/(Datos!S18-Datos!Q18+Datos!R18)),(Datos!Q18-Datos!R18)/(Datos!S18-Datos!Q18+Datos!R18)," - ")</f>
        <v>-8.8929219600725959E-2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26</v>
      </c>
      <c r="F19" s="951">
        <f t="shared" si="4"/>
        <v>202</v>
      </c>
      <c r="G19" s="951">
        <f t="shared" si="4"/>
        <v>202</v>
      </c>
      <c r="H19" s="951">
        <f t="shared" si="4"/>
        <v>0</v>
      </c>
      <c r="I19" s="952">
        <f t="shared" si="4"/>
        <v>0</v>
      </c>
      <c r="J19" s="953">
        <f t="shared" si="4"/>
        <v>0</v>
      </c>
      <c r="K19" s="953">
        <f t="shared" si="4"/>
        <v>0</v>
      </c>
      <c r="L19" s="953">
        <f t="shared" si="4"/>
        <v>0</v>
      </c>
      <c r="M19" s="953">
        <f t="shared" si="4"/>
        <v>0</v>
      </c>
      <c r="N19" s="952">
        <f t="shared" si="4"/>
        <v>33</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155</v>
      </c>
      <c r="AC19" s="957">
        <f t="shared" si="5"/>
        <v>0</v>
      </c>
      <c r="AD19" s="957">
        <f t="shared" si="5"/>
        <v>0</v>
      </c>
      <c r="AE19" s="957">
        <f t="shared" si="5"/>
        <v>0</v>
      </c>
      <c r="AF19" s="958">
        <f t="shared" si="5"/>
        <v>186</v>
      </c>
      <c r="AG19" s="958">
        <f t="shared" si="5"/>
        <v>0</v>
      </c>
      <c r="AH19" s="958">
        <f t="shared" si="5"/>
        <v>0</v>
      </c>
      <c r="AI19" s="958">
        <f t="shared" si="5"/>
        <v>0</v>
      </c>
      <c r="AJ19" s="959">
        <f t="shared" si="5"/>
        <v>0</v>
      </c>
      <c r="AK19" s="959">
        <f t="shared" si="5"/>
        <v>0</v>
      </c>
      <c r="AL19" s="951">
        <f t="shared" si="5"/>
        <v>49</v>
      </c>
      <c r="AM19" s="951">
        <f t="shared" si="5"/>
        <v>83</v>
      </c>
      <c r="AN19" s="951">
        <f t="shared" si="5"/>
        <v>0</v>
      </c>
      <c r="AO19" s="951">
        <f t="shared" si="5"/>
        <v>0</v>
      </c>
      <c r="AP19" s="951">
        <f>IF(ISNUMBER(((Datos!L19/Datos!K19)*11)/factor_trimestre),((Datos!L19/Datos!K19)*11)/factor_trimestre," - ")</f>
        <v>3.5419885661310264</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-0.76732673267326734</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3.5217472565615575E-2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134.66666666666666</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11.057425860780919</v>
      </c>
      <c r="F21" s="736">
        <f>IF(ISNUMBER(STDEV(F8:F18)),STDEV(F8:F18),"-")</f>
        <v>116.6247543763044</v>
      </c>
      <c r="G21" s="737">
        <f>IF(ISNUMBER(STDEV(G8:G18)),STDEV(G8:G18),"-")</f>
        <v>116.6247543763044</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89.489291724392004</v>
      </c>
      <c r="AC21" s="738">
        <f>IF(ISNUMBER(STDEV(AC8:AC18)),STDEV(AC8:AC18),"-")</f>
        <v>0</v>
      </c>
      <c r="AD21" s="741"/>
      <c r="AE21" s="741"/>
      <c r="AF21" s="741"/>
      <c r="AG21" s="741"/>
      <c r="AH21" s="741"/>
      <c r="AI21" s="741"/>
      <c r="AJ21" s="742">
        <f>IF(ISNUMBER(STDEV(AJ8:AJ18)),STDEV(AJ8:AJ18),"-")</f>
        <v>0</v>
      </c>
      <c r="AK21" s="744"/>
      <c r="AL21" s="736">
        <f>IF(ISNUMBER(STDEV(AL8:AL18)),STDEV(AL8:AL18),"-")</f>
        <v>28.290163190291661</v>
      </c>
      <c r="AM21" s="736"/>
      <c r="AN21" s="736">
        <f>IF(ISNUMBER(STDEV(AN8:AN18)),STDEV(AN8:AN18),"-")</f>
        <v>0</v>
      </c>
      <c r="AO21" s="742">
        <f>IF(ISNUMBER(STDEV(AO8:AO18)),STDEV(AO8:AO18),"-")</f>
        <v>0</v>
      </c>
      <c r="AP21" s="779">
        <f>IF(ISNUMBER(STDEV(AP8:AP18)),STDEV(AP8:AP18),"-")</f>
        <v>2.2542660840503368</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24 sep. 2025</v>
      </c>
      <c r="W30"/>
      <c r="X30"/>
    </row>
    <row r="32" spans="1:78">
      <c r="C32" s="774"/>
      <c r="D32" s="774"/>
      <c r="W32"/>
      <c r="X32"/>
    </row>
  </sheetData>
  <sheetProtection algorithmName="SHA-512" hashValue="85rPj82s8IHVA7tAGyWSuRQW305cER0i+K8ZSN7w/SjQEAVr3L+0iEzTaxZQysmzunnWEGwVMuwISCoPSWUx4A==" saltValue="hHZgWJX9j1ywNIXM2LPPg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ARAGON</v>
      </c>
      <c r="C2" s="375"/>
      <c r="E2" s="375"/>
      <c r="F2" s="375"/>
      <c r="G2" s="375"/>
      <c r="H2" s="375"/>
    </row>
    <row r="3" spans="1:15" ht="39">
      <c r="A3" s="415" t="s">
        <v>218</v>
      </c>
      <c r="B3" s="391" t="str">
        <f>Criterios!A10 &amp;"  "&amp;Criterios!B10</f>
        <v>Provincias  ZARAGOZA</v>
      </c>
      <c r="C3" s="415"/>
      <c r="F3" s="375"/>
      <c r="G3" s="375"/>
      <c r="H3" s="375"/>
    </row>
    <row r="4" spans="1:15" ht="13.5" thickBot="1">
      <c r="A4" s="375"/>
      <c r="B4" s="391" t="str">
        <f>Criterios!A11 &amp;"  "&amp;Criterios!B11</f>
        <v>Resumenes por Partidos Judiciales  ZARAGOZA</v>
      </c>
      <c r="C4" s="375"/>
      <c r="E4" s="375"/>
      <c r="F4" s="375"/>
      <c r="G4" s="375"/>
      <c r="H4" s="375"/>
    </row>
    <row r="5" spans="1:15" ht="15.75" customHeight="1">
      <c r="A5" s="1210" t="str">
        <f>"Año:  " &amp;Criterios!B5</f>
        <v>Año:  2025</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19</v>
      </c>
      <c r="D9" s="403">
        <f>Datos!BK9</f>
        <v>0</v>
      </c>
      <c r="E9" s="403">
        <f>Datos!AQ9</f>
        <v>19</v>
      </c>
      <c r="F9" s="404">
        <f>IF(ISNUMBER(E9/Datos!BH9),E9/Datos!BH9," - ")</f>
        <v>1</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3</v>
      </c>
      <c r="D10" s="403">
        <f>Datos!BK10</f>
        <v>0</v>
      </c>
      <c r="E10" s="403">
        <f>Datos!AQ10</f>
        <v>3</v>
      </c>
      <c r="F10" s="404">
        <f>IF(ISNUMBER(E10/Datos!BH10),E10/Datos!BH10," - ")</f>
        <v>1</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4</v>
      </c>
      <c r="D11" s="403">
        <f>Datos!BK11</f>
        <v>0</v>
      </c>
      <c r="E11" s="403">
        <f>Datos!AQ11</f>
        <v>4</v>
      </c>
      <c r="F11" s="404">
        <f>IF(ISNUMBER(E11/Datos!BH11),E11/Datos!BH11," - ")</f>
        <v>1</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0</v>
      </c>
      <c r="D12" s="403">
        <f>Datos!BK12</f>
        <v>0</v>
      </c>
      <c r="E12" s="403">
        <f>Datos!AQ12</f>
        <v>0</v>
      </c>
      <c r="F12" s="404" t="str">
        <f>IF(ISNUMBER(E12/Datos!BH12),E12/Datos!BH12," - ")</f>
        <v xml:space="preserve"> - </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12</v>
      </c>
      <c r="D15" s="403">
        <f>Datos!BK15</f>
        <v>0</v>
      </c>
      <c r="E15" s="403">
        <f>Datos!AQ15</f>
        <v>12</v>
      </c>
      <c r="F15" s="404">
        <f>IF(ISNUMBER(E15/Datos!BH15),E15/Datos!BH15," - ")</f>
        <v>1</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0</v>
      </c>
      <c r="D16" s="403">
        <f>Datos!BK16</f>
        <v>0</v>
      </c>
      <c r="E16" s="403">
        <f>Datos!AQ16</f>
        <v>0</v>
      </c>
      <c r="F16" s="404" t="str">
        <f>IF(ISNUMBER(E16/Datos!BH16),E16/Datos!BH16," - ")</f>
        <v xml:space="preserve"> - </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3</v>
      </c>
      <c r="D17" s="403">
        <f>Datos!BK17</f>
        <v>0</v>
      </c>
      <c r="E17" s="403">
        <f>Datos!AQ17</f>
        <v>3</v>
      </c>
      <c r="F17" s="404">
        <f>IF(ISNUMBER(E17/Datos!BH17),E17/Datos!BH17," - ")</f>
        <v>1</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24 sep. 2025</v>
      </c>
      <c r="B23" s="391"/>
      <c r="C23" s="391"/>
    </row>
    <row r="27" spans="1:13">
      <c r="A27" s="414"/>
      <c r="B27" s="414"/>
      <c r="C27" s="414"/>
    </row>
  </sheetData>
  <sheetProtection algorithmName="SHA-512" hashValue="UNYUVAUblguSy/kjttXa9JkZoo3xjrfJ9UZfvynog6zEgIzHvFxCoiRRPTwo4RCpf2xIIqZU85gpiQBLzYNaZw==" saltValue="uzZoDEKNMr+LhzBJCzogD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ARAGON</v>
      </c>
      <c r="C2" s="391"/>
    </row>
    <row r="3" spans="1:78" ht="19.5">
      <c r="A3" s="425" t="s">
        <v>11</v>
      </c>
      <c r="B3" s="391" t="str">
        <f>Criterios!A10 &amp;"  "&amp;Criterios!B10</f>
        <v>Provincias  ZARAGOZA</v>
      </c>
      <c r="C3" s="391"/>
      <c r="D3" s="425"/>
      <c r="BZ3" s="471"/>
    </row>
    <row r="4" spans="1:78" ht="13.5" thickBot="1">
      <c r="B4" s="391" t="str">
        <f>Criterios!A11 &amp;"  "&amp;Criterios!B11</f>
        <v>Resumenes por Partidos Judiciales  ZARAGOZA</v>
      </c>
      <c r="BZ4" s="471"/>
    </row>
    <row r="5" spans="1:78" ht="15.75" customHeight="1">
      <c r="A5" s="1210" t="str">
        <f>"Año:  " &amp;Criterios!B5 &amp; "                  Trimestre   " &amp;Criterios!D5 &amp; " al " &amp;Criterios!D6</f>
        <v>Año:  2025                  Trimestre   2 al 2</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19</v>
      </c>
      <c r="C9" s="410">
        <f>Datos!AQ9</f>
        <v>19</v>
      </c>
      <c r="D9" s="403">
        <f>IF(ISNUMBER(Datos!M9),Datos!M9," - ")</f>
        <v>4343</v>
      </c>
      <c r="E9" s="404">
        <f t="shared" ref="E9:E13" si="0">IF(ISNUMBER(D9/B9),D9/B9," - ")</f>
        <v>228.57894736842104</v>
      </c>
      <c r="F9" s="403">
        <f>IF(ISNUMBER(Datos!N9),Datos!N9," - ")</f>
        <v>3975</v>
      </c>
      <c r="G9" s="404">
        <f t="shared" ref="G9:G13" si="1">IF(ISNUMBER(F9/B9),F9/B9," - ")</f>
        <v>209.21052631578948</v>
      </c>
      <c r="H9" s="403">
        <f>IF(ISNUMBER(Datos!O9),Datos!O9," - ")</f>
        <v>4393</v>
      </c>
      <c r="I9" s="404">
        <f>IF(ISNUMBER(H9/B9),H9/B9," - ")</f>
        <v>231.21052631578948</v>
      </c>
      <c r="BZ9" s="1186">
        <f>Datos!EZ9</f>
        <v>0</v>
      </c>
    </row>
    <row r="10" spans="1:78">
      <c r="A10" s="402" t="str">
        <f>Datos!A10</f>
        <v>Jdos. Violencia contra la mujer</v>
      </c>
      <c r="B10" s="427">
        <f>Datos!AO10</f>
        <v>3</v>
      </c>
      <c r="C10" s="410">
        <f>Datos!AQ10</f>
        <v>3</v>
      </c>
      <c r="D10" s="403">
        <f>IF(ISNUMBER(Datos!M10),Datos!M10," - ")</f>
        <v>49</v>
      </c>
      <c r="E10" s="404">
        <f>IF(ISNUMBER(D10/B10),D10/B10," - ")</f>
        <v>16.333333333333332</v>
      </c>
      <c r="F10" s="403">
        <f>IF(ISNUMBER(Datos!N10),Datos!N10," - ")</f>
        <v>83</v>
      </c>
      <c r="G10" s="404">
        <f>IF(ISNUMBER(F10/B10),F10/B10," - ")</f>
        <v>27.666666666666668</v>
      </c>
      <c r="H10" s="403">
        <f>IF(ISNUMBER(Datos!O10),Datos!O10," - ")</f>
        <v>26</v>
      </c>
      <c r="I10" s="404">
        <f t="shared" ref="I10:I12" si="2">IF(ISNUMBER(H10/B10),H10/B10," - ")</f>
        <v>8.6666666666666661</v>
      </c>
      <c r="BZ10" s="1186">
        <f>Datos!EZ10</f>
        <v>0</v>
      </c>
    </row>
    <row r="11" spans="1:78">
      <c r="A11" s="402" t="str">
        <f>Datos!A11</f>
        <v xml:space="preserve">Jdos. Familia                                   </v>
      </c>
      <c r="B11" s="427">
        <f>Datos!AO11</f>
        <v>4</v>
      </c>
      <c r="C11" s="410">
        <f>Datos!AQ11</f>
        <v>4</v>
      </c>
      <c r="D11" s="403">
        <f>IF(ISNUMBER(Datos!M11),Datos!M11," - ")</f>
        <v>526</v>
      </c>
      <c r="E11" s="404">
        <f t="shared" si="0"/>
        <v>131.5</v>
      </c>
      <c r="F11" s="403">
        <f>IF(ISNUMBER(Datos!N11),Datos!N11," - ")</f>
        <v>457</v>
      </c>
      <c r="G11" s="404">
        <f t="shared" si="1"/>
        <v>114.25</v>
      </c>
      <c r="H11" s="403">
        <f>IF(ISNUMBER(Datos!O11),Datos!O11," - ")</f>
        <v>398</v>
      </c>
      <c r="I11" s="404">
        <f t="shared" si="2"/>
        <v>99.5</v>
      </c>
      <c r="BZ11" s="1186">
        <f>Datos!EZ11</f>
        <v>0</v>
      </c>
    </row>
    <row r="12" spans="1:78" ht="13.5" thickBot="1">
      <c r="A12" s="402" t="str">
        <f>Datos!A12</f>
        <v xml:space="preserve">Jdos. 1ª Instª. e Instr.                        </v>
      </c>
      <c r="B12" s="427">
        <f>Datos!AO12</f>
        <v>0</v>
      </c>
      <c r="C12" s="410">
        <f>Datos!AQ12</f>
        <v>0</v>
      </c>
      <c r="D12" s="403" t="str">
        <f>IF(ISNUMBER(Datos!M12),Datos!M12," - ")</f>
        <v xml:space="preserve"> - </v>
      </c>
      <c r="E12" s="404" t="str">
        <f t="shared" si="0"/>
        <v xml:space="preserve"> - </v>
      </c>
      <c r="F12" s="403" t="str">
        <f>IF(ISNUMBER(Datos!N12),Datos!N12," - ")</f>
        <v xml:space="preserve"> - </v>
      </c>
      <c r="G12" s="404" t="str">
        <f t="shared" si="1"/>
        <v xml:space="preserve"> - </v>
      </c>
      <c r="H12" s="403" t="str">
        <f>IF(ISNUMBER(Datos!O12),Datos!O12," - ")</f>
        <v xml:space="preserve"> - </v>
      </c>
      <c r="I12" s="404" t="str">
        <f t="shared" si="2"/>
        <v xml:space="preserve"> - </v>
      </c>
      <c r="BZ12" s="1186">
        <f>Datos!EZ12</f>
        <v>0</v>
      </c>
    </row>
    <row r="13" spans="1:78" ht="14.25" thickTop="1" thickBot="1">
      <c r="A13" s="848" t="str">
        <f>Datos!A13</f>
        <v>TOTAL</v>
      </c>
      <c r="B13" s="849">
        <f>Datos!AP13</f>
        <v>26</v>
      </c>
      <c r="C13" s="851">
        <f>Datos!AR13</f>
        <v>26</v>
      </c>
      <c r="D13" s="849">
        <f>SUBTOTAL(9,D9:D12)</f>
        <v>4918</v>
      </c>
      <c r="E13" s="850">
        <f t="shared" si="0"/>
        <v>189.15384615384616</v>
      </c>
      <c r="F13" s="849">
        <f>SUBTOTAL(9,F9:F12)</f>
        <v>4515</v>
      </c>
      <c r="G13" s="850">
        <f t="shared" si="1"/>
        <v>173.65384615384616</v>
      </c>
      <c r="H13" s="849">
        <f>SUBTOTAL(9,H9:H12)</f>
        <v>4817</v>
      </c>
      <c r="I13" s="850">
        <f>IF(ISNUMBER(H13/B13),H13/B13," - ")</f>
        <v>185.26923076923077</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12</v>
      </c>
      <c r="C15" s="428">
        <f>Datos!AQ15</f>
        <v>12</v>
      </c>
      <c r="D15" s="403">
        <f>IF(ISNUMBER(Datos!M15),Datos!M15," - ")</f>
        <v>1100</v>
      </c>
      <c r="E15" s="404">
        <f t="shared" ref="E15:E18" si="3">IF(ISNUMBER(D15/B15),D15/B15," - ")</f>
        <v>91.666666666666671</v>
      </c>
      <c r="F15" s="403">
        <f>IF(ISNUMBER(Datos!N15),Datos!N15," - ")</f>
        <v>7630</v>
      </c>
      <c r="G15" s="404">
        <f t="shared" ref="G15:G18" si="4">IF(ISNUMBER(F15/B15),F15/B15," - ")</f>
        <v>635.83333333333337</v>
      </c>
      <c r="H15" s="403">
        <f>IF(ISNUMBER(Datos!O15),Datos!O15," - ")</f>
        <v>369</v>
      </c>
      <c r="I15" s="404">
        <f t="shared" ref="I15:I17" si="5">IF(ISNUMBER(H15/B15),H15/B15," - ")</f>
        <v>30.75</v>
      </c>
      <c r="BZ15" s="1186">
        <f>Datos!EZ15</f>
        <v>0</v>
      </c>
    </row>
    <row r="16" spans="1:78">
      <c r="A16" s="402" t="str">
        <f>Datos!A16</f>
        <v xml:space="preserve">Jdos. 1ª Instª. e Instr.                        </v>
      </c>
      <c r="B16" s="427">
        <f>Datos!AO16</f>
        <v>0</v>
      </c>
      <c r="C16" s="428">
        <f>Datos!AQ16</f>
        <v>0</v>
      </c>
      <c r="D16" s="403" t="str">
        <f>IF(ISNUMBER(Datos!M16),Datos!M16," - ")</f>
        <v xml:space="preserve"> - </v>
      </c>
      <c r="E16" s="404" t="str">
        <f t="shared" si="3"/>
        <v xml:space="preserve"> - </v>
      </c>
      <c r="F16" s="403" t="str">
        <f>IF(ISNUMBER(Datos!N16),Datos!N16," - ")</f>
        <v xml:space="preserve"> - </v>
      </c>
      <c r="G16" s="404" t="str">
        <f t="shared" si="4"/>
        <v xml:space="preserve"> - </v>
      </c>
      <c r="H16" s="403" t="str">
        <f>IF(ISNUMBER(Datos!O16),Datos!O16," - ")</f>
        <v xml:space="preserve"> - </v>
      </c>
      <c r="I16" s="404" t="str">
        <f t="shared" si="5"/>
        <v xml:space="preserve"> - </v>
      </c>
      <c r="BZ16" s="1186">
        <f>Datos!EZ16</f>
        <v>0</v>
      </c>
    </row>
    <row r="17" spans="1:78" ht="13.5" thickBot="1">
      <c r="A17" s="402" t="str">
        <f>Datos!A17</f>
        <v>Jdos. Violencia contra la mujer</v>
      </c>
      <c r="B17" s="427">
        <f>Datos!AO17</f>
        <v>3</v>
      </c>
      <c r="C17" s="428">
        <f>Datos!AQ17</f>
        <v>3</v>
      </c>
      <c r="D17" s="403">
        <f>IF(ISNUMBER(Datos!M17),Datos!M17," - ")</f>
        <v>114</v>
      </c>
      <c r="E17" s="404">
        <f>IF(ISNUMBER(D17/B17),D17/B17," - ")</f>
        <v>38</v>
      </c>
      <c r="F17" s="403">
        <f>IF(ISNUMBER(Datos!N17),Datos!N17," - ")</f>
        <v>798</v>
      </c>
      <c r="G17" s="404">
        <f>IF(ISNUMBER(F17/B17),F17/B17," - ")</f>
        <v>266</v>
      </c>
      <c r="H17" s="403">
        <f>IF(ISNUMBER(Datos!O17),Datos!O17," - ")</f>
        <v>25</v>
      </c>
      <c r="I17" s="404">
        <f t="shared" si="5"/>
        <v>8.3333333333333339</v>
      </c>
      <c r="BZ17" s="1186">
        <f>Datos!EZ17</f>
        <v>0</v>
      </c>
    </row>
    <row r="18" spans="1:78" ht="14.25" thickTop="1" thickBot="1">
      <c r="A18" s="848" t="str">
        <f>Datos!A18</f>
        <v>TOTAL</v>
      </c>
      <c r="B18" s="849">
        <f>Datos!AP18</f>
        <v>15</v>
      </c>
      <c r="C18" s="851">
        <f>Datos!AR18</f>
        <v>15</v>
      </c>
      <c r="D18" s="849">
        <f>SUBTOTAL(9,D15:D17)</f>
        <v>1214</v>
      </c>
      <c r="E18" s="850">
        <f t="shared" si="3"/>
        <v>80.933333333333337</v>
      </c>
      <c r="F18" s="849">
        <f>SUBTOTAL(9,F15:F17)</f>
        <v>8428</v>
      </c>
      <c r="G18" s="850">
        <f t="shared" si="4"/>
        <v>561.86666666666667</v>
      </c>
      <c r="H18" s="849">
        <f>SUBTOTAL(9,H15:H17)</f>
        <v>394</v>
      </c>
      <c r="I18" s="850">
        <f>IF(ISNUMBER(H18/B18),H18/B18," - ")</f>
        <v>26.266666666666666</v>
      </c>
      <c r="BZ18" s="1186"/>
    </row>
    <row r="19" spans="1:78" ht="14.25" thickTop="1" thickBot="1">
      <c r="A19" s="793" t="str">
        <f>Datos!A19</f>
        <v>TOTAL JURISDICCIONES</v>
      </c>
      <c r="B19" s="794">
        <f>Datos!AP19</f>
        <v>38</v>
      </c>
      <c r="C19" s="794">
        <f>Datos!AR19</f>
        <v>38</v>
      </c>
      <c r="D19" s="794">
        <f>SUBTOTAL(9,D8:D18)</f>
        <v>6132</v>
      </c>
      <c r="E19" s="795">
        <f>IF(ISNUMBER(D19/B19),D19/B19," - ")</f>
        <v>161.36842105263159</v>
      </c>
      <c r="F19" s="794">
        <f>SUBTOTAL(9,F8:F18)</f>
        <v>12943</v>
      </c>
      <c r="G19" s="795">
        <f>IF(ISNUMBER(F19/B19),F19/B19," - ")</f>
        <v>340.60526315789474</v>
      </c>
      <c r="H19" s="794">
        <f>SUBTOTAL(9,H8:H18)</f>
        <v>5211</v>
      </c>
      <c r="I19" s="795">
        <f>IF(ISNUMBER(H19/B19),H19/B19," - ")</f>
        <v>137.13157894736841</v>
      </c>
    </row>
    <row r="22" spans="1:78">
      <c r="A22" s="391" t="str">
        <f>Criterios!A4</f>
        <v>Fecha Informe: 24 sep. 2025</v>
      </c>
    </row>
    <row r="27" spans="1:78">
      <c r="A27" s="414"/>
    </row>
  </sheetData>
  <sheetProtection algorithmName="SHA-512" hashValue="MswXoKhU0HKcqAsZB+SD+Mn8LD+9hkdlsY3sLU73tOXDCTmpzdg6UzqR5pLZghTtzcOrzyeX39T2dhRCvwB9Ig==" saltValue="vATa3f5wV+qu9YPdQse/j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ARAGON</v>
      </c>
    </row>
    <row r="3" spans="1:4" ht="19.5">
      <c r="A3" s="429" t="s">
        <v>32</v>
      </c>
      <c r="B3" s="391" t="str">
        <f>Criterios!A10 &amp;"  "&amp;Criterios!B10</f>
        <v>Provincias  ZARAGOZA</v>
      </c>
    </row>
    <row r="4" spans="1:4" ht="13.5" thickBot="1">
      <c r="B4" s="391" t="str">
        <f>Criterios!A11 &amp;"  "&amp;Criterios!B11</f>
        <v>Resumenes por Partidos Judiciales  ZARAGOZA</v>
      </c>
    </row>
    <row r="5" spans="1:4" ht="12.75" customHeight="1">
      <c r="A5" s="1210" t="str">
        <f>"Año:  " &amp;Criterios!B5 &amp; "                  Trimestre   " &amp;Criterios!D5 &amp; " al " &amp;Criterios!D6</f>
        <v>Año:  2025                  Trimestre   2 al 2</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f>IF(ISNUMBER(Datos!P9),Datos!P9," - ")</f>
        <v>3127</v>
      </c>
      <c r="C9" s="434">
        <f>IF(ISNUMBER(Datos!Q9),Datos!Q9," - ")</f>
        <v>1725</v>
      </c>
      <c r="D9" s="408">
        <f>IF(ISNUMBER(Datos!R9),Datos!R9," - ")</f>
        <v>35880</v>
      </c>
    </row>
    <row r="10" spans="1:4">
      <c r="A10" s="402" t="str">
        <f>Datos!A10</f>
        <v>Jdos. Violencia contra la mujer</v>
      </c>
      <c r="B10" s="433">
        <f>IF(ISNUMBER(Datos!P10),Datos!P10," - ")</f>
        <v>33</v>
      </c>
      <c r="C10" s="434">
        <f>IF(ISNUMBER(Datos!Q10),Datos!Q10," - ")</f>
        <v>30</v>
      </c>
      <c r="D10" s="408">
        <f>IF(ISNUMBER(Datos!R10),Datos!R10," - ")</f>
        <v>290</v>
      </c>
    </row>
    <row r="11" spans="1:4">
      <c r="A11" s="402" t="str">
        <f>Datos!A11</f>
        <v xml:space="preserve">Jdos. Familia                                   </v>
      </c>
      <c r="B11" s="433">
        <f>IF(ISNUMBER(Datos!P11),Datos!P11," - ")</f>
        <v>140</v>
      </c>
      <c r="C11" s="434">
        <f>IF(ISNUMBER(Datos!Q11),Datos!Q11," - ")</f>
        <v>191</v>
      </c>
      <c r="D11" s="408">
        <f>IF(ISNUMBER(Datos!R11),Datos!R11," - ")</f>
        <v>1381</v>
      </c>
    </row>
    <row r="12" spans="1:4" ht="13.5" thickBot="1">
      <c r="A12" s="402" t="str">
        <f>Datos!A12</f>
        <v xml:space="preserve">Jdos. 1ª Instª. e Instr.                        </v>
      </c>
      <c r="B12" s="433" t="str">
        <f>IF(ISNUMBER(Datos!P12),Datos!P12," - ")</f>
        <v xml:space="preserve"> - </v>
      </c>
      <c r="C12" s="434" t="str">
        <f>IF(ISNUMBER(Datos!Q12),Datos!Q12," - ")</f>
        <v xml:space="preserve"> - </v>
      </c>
      <c r="D12" s="408" t="str">
        <f>IF(ISNUMBER(Datos!R12),Datos!R12," - ")</f>
        <v xml:space="preserve"> - </v>
      </c>
    </row>
    <row r="13" spans="1:4" ht="14.25" thickTop="1" thickBot="1">
      <c r="A13" s="848" t="str">
        <f>Datos!A13</f>
        <v>TOTAL</v>
      </c>
      <c r="B13" s="849">
        <f>SUBTOTAL(9,B9:B12)</f>
        <v>3300</v>
      </c>
      <c r="C13" s="853">
        <f>SUBTOTAL(9,C9:C12)</f>
        <v>1946</v>
      </c>
      <c r="D13" s="851">
        <f>SUBTOTAL(9,D9:D12)</f>
        <v>37551</v>
      </c>
    </row>
    <row r="14" spans="1:4" ht="13.5" thickTop="1">
      <c r="A14" s="396" t="str">
        <f>Datos!A14</f>
        <v xml:space="preserve">Jurisdicción Penal ( 2 ):                      </v>
      </c>
      <c r="B14" s="406"/>
      <c r="C14" s="435"/>
      <c r="D14" s="408"/>
    </row>
    <row r="15" spans="1:4">
      <c r="A15" s="402" t="str">
        <f>Datos!A15</f>
        <v xml:space="preserve">Jdos. Instrucción                               </v>
      </c>
      <c r="B15" s="433">
        <f>IF(ISNUMBER(Datos!P15),Datos!P15," - ")</f>
        <v>536</v>
      </c>
      <c r="C15" s="434">
        <f>IF(ISNUMBER(Datos!Q15),Datos!Q15," - ")</f>
        <v>561</v>
      </c>
      <c r="D15" s="408">
        <f>IF(ISNUMBER(Datos!R15),Datos!R15," - ")</f>
        <v>1190</v>
      </c>
    </row>
    <row r="16" spans="1:4">
      <c r="A16" s="402" t="str">
        <f>Datos!A16</f>
        <v xml:space="preserve">Jdos. 1ª Instª. e Instr.                        </v>
      </c>
      <c r="B16" s="433" t="str">
        <f>IF(ISNUMBER(Datos!P16),Datos!P16," - ")</f>
        <v xml:space="preserve"> - </v>
      </c>
      <c r="C16" s="434" t="str">
        <f>IF(ISNUMBER(Datos!Q16),Datos!Q16," - ")</f>
        <v xml:space="preserve"> - </v>
      </c>
      <c r="D16" s="408" t="str">
        <f>IF(ISNUMBER(Datos!R16),Datos!R16," - ")</f>
        <v xml:space="preserve"> - </v>
      </c>
    </row>
    <row r="17" spans="1:4" ht="13.5" thickBot="1">
      <c r="A17" s="402" t="str">
        <f>Datos!A17</f>
        <v>Jdos. Violencia contra la mujer</v>
      </c>
      <c r="B17" s="433">
        <f>IF(ISNUMBER(Datos!P17),Datos!P17," - ")</f>
        <v>13</v>
      </c>
      <c r="C17" s="434">
        <f>IF(ISNUMBER(Datos!Q17),Datos!Q17," - ")</f>
        <v>23</v>
      </c>
      <c r="D17" s="408">
        <f>IF(ISNUMBER(Datos!R17),Datos!R17," - ")</f>
        <v>31</v>
      </c>
    </row>
    <row r="18" spans="1:4" ht="14.25" thickTop="1" thickBot="1">
      <c r="A18" s="848" t="str">
        <f>Datos!A18</f>
        <v>TOTAL</v>
      </c>
      <c r="B18" s="849">
        <f>SUBTOTAL(9,B15:B17)</f>
        <v>549</v>
      </c>
      <c r="C18" s="853">
        <f>SUBTOTAL(9,C15:C17)</f>
        <v>584</v>
      </c>
      <c r="D18" s="851">
        <f>SUBTOTAL(9,D15:D17)</f>
        <v>1221</v>
      </c>
    </row>
    <row r="19" spans="1:4" ht="16.5" customHeight="1" thickTop="1" thickBot="1">
      <c r="A19" s="793" t="str">
        <f>Datos!A19</f>
        <v>TOTAL JURISDICCIONES</v>
      </c>
      <c r="B19" s="798">
        <f>SUBTOTAL(9,B8:B18)</f>
        <v>3849</v>
      </c>
      <c r="C19" s="799">
        <f>SUBTOTAL(9,C8:C18)</f>
        <v>2530</v>
      </c>
      <c r="D19" s="800">
        <f>SUBTOTAL(9,D8:D18)</f>
        <v>38772</v>
      </c>
    </row>
    <row r="20" spans="1:4" ht="7.5" customHeight="1"/>
    <row r="21" spans="1:4" ht="6" customHeight="1"/>
    <row r="22" spans="1:4">
      <c r="A22" s="391" t="str">
        <f>Criterios!A4</f>
        <v>Fecha Informe: 24 sep. 2025</v>
      </c>
    </row>
    <row r="27" spans="1:4">
      <c r="A27" s="414"/>
    </row>
  </sheetData>
  <sheetProtection algorithmName="SHA-512" hashValue="PwcbDQHRFAjJkFrzbKZRYTjwi59ibbxMAAk4BFvSwgsoF10bB9/IVKqgVlvUbiPWz6BFmvuUN6YXrAxaM5p6Pw==" saltValue="znbIrEWld5HWWI5rjdqtm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ARAGON</v>
      </c>
    </row>
    <row r="3" spans="1:11" ht="18.75" customHeight="1">
      <c r="A3" s="429" t="s">
        <v>118</v>
      </c>
      <c r="B3" s="391" t="str">
        <f>Criterios!A10 &amp;"  "&amp;Criterios!B10</f>
        <v>Provincias  ZARAGOZA</v>
      </c>
    </row>
    <row r="4" spans="1:11" ht="10.5" customHeight="1" thickBot="1">
      <c r="B4" s="391" t="str">
        <f>Criterios!A11 &amp;"  "&amp;Criterios!B11</f>
        <v>Resumenes por Partidos Judiciales  ZARAGOZA</v>
      </c>
    </row>
    <row r="5" spans="1:11" ht="12.75" customHeight="1">
      <c r="A5" s="1210" t="str">
        <f>"Año:  " &amp;Criterios!B5 &amp; "    Trimestre   " &amp;Criterios!D5 &amp; " al " &amp;Criterios!D6</f>
        <v>Año:  2025    Trimestre   2 al 2</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f>IF(ISNUMBER(
   IF(J_V="SI",(Datos!I9-Datos!S9)/Datos!S9,(Datos!I9+Datos!Y9-(Datos!S9+Datos!AG9))/(Datos!S9+Datos!AG9))
     ),IF(J_V="SI",(Datos!I9-Datos!S9)/Datos!S9,(Datos!I9+Datos!Y9-(Datos!S9+Datos!AG9))/(Datos!S9+Datos!AG9))," - ")</f>
        <v>-3.5658587987355113E-2</v>
      </c>
      <c r="C9" s="456">
        <f>IF(ISNUMBER(
   IF(J_V="SI",(Datos!J9-Datos!T9)/Datos!T9,(Datos!J9+Datos!Z9-(Datos!T9+Datos!AH9))/(Datos!T9+Datos!AH9))
     ),IF(J_V="SI",(Datos!J9-Datos!T9)/Datos!T9,(Datos!J9+Datos!Z9-(Datos!T9+Datos!AH9))/(Datos!T9+Datos!AH9))," - ")</f>
        <v>-9.4881947499633371E-2</v>
      </c>
      <c r="D9" s="456">
        <f>IF(ISNUMBER(
   IF(J_V="SI",(Datos!K9-Datos!U9)/Datos!U9,(Datos!K9+Datos!AA9-(Datos!U9+Datos!AI9))/(Datos!U9+Datos!AI9))
     ),IF(J_V="SI",(Datos!K9-Datos!U9)/Datos!U9,(Datos!K9+Datos!AA9-(Datos!U9+Datos!AI9))/(Datos!U9+Datos!AI9))," - ")</f>
        <v>3.6090225563909777E-2</v>
      </c>
      <c r="E9" s="456">
        <f>IF(ISNUMBER(
   IF(J_V="SI",(Datos!L9-Datos!V9)/Datos!V9,(Datos!L9+Datos!AB9-(Datos!V9+Datos!AJ9))/(Datos!V9+Datos!AJ9))
     ),IF(J_V="SI",(Datos!L9-Datos!V9)/Datos!V9,(Datos!L9+Datos!AB9-(Datos!V9+Datos!AJ9))/(Datos!V9+Datos!AJ9))," - ")</f>
        <v>-9.2447616854708731E-2</v>
      </c>
      <c r="F9" s="456">
        <f>IF(ISNUMBER((Datos!M9-Datos!W9)/Datos!W9),(Datos!M9-Datos!W9)/Datos!W9," - ")</f>
        <v>0.21516508114157806</v>
      </c>
      <c r="G9" s="457">
        <f>IF(ISNUMBER((Datos!N9-Datos!X9)/Datos!X9),(Datos!N9-Datos!X9)/Datos!X9," - ")</f>
        <v>2.5806451612903226E-2</v>
      </c>
      <c r="H9" s="455">
        <f>IF(ISNUMBER(((NºAsuntos!G9/NºAsuntos!E9)-Datos!BD9)/Datos!BD9),((NºAsuntos!G9/NºAsuntos!E9)-Datos!BD9)/Datos!BD9," - ")</f>
        <v>0.14470175763452706</v>
      </c>
      <c r="I9" s="456">
        <f>IF(ISNUMBER(((NºAsuntos!I9/NºAsuntos!G9)-Datos!BE9)/Datos!BE9),((NºAsuntos!I9/NºAsuntos!G9)-Datos!BE9)/Datos!BE9," - ")</f>
        <v>-0.12406047200055342</v>
      </c>
      <c r="J9" s="461">
        <f>IF(ISNUMBER((('Resol  Asuntos'!D9/NºAsuntos!G9)-Datos!BF9)/Datos!BF9),(('Resol  Asuntos'!D9/NºAsuntos!G9)-Datos!BF9)/Datos!BF9," - ")</f>
        <v>8.1734163584437455E-2</v>
      </c>
      <c r="K9" s="462">
        <f>IF(ISNUMBER((((NºAsuntos!C9+NºAsuntos!E9)/NºAsuntos!G9)-Datos!BG9)/Datos!BG9),(((NºAsuntos!C9+NºAsuntos!E9)/NºAsuntos!G9)-Datos!BG9)/Datos!BG9," - ")</f>
        <v>-9.0113908938808357E-2</v>
      </c>
    </row>
    <row r="10" spans="1:11">
      <c r="A10" s="402" t="str">
        <f>Datos!A10</f>
        <v>Jdos. Violencia contra la mujer</v>
      </c>
      <c r="B10" s="455">
        <f>IF(ISNUMBER((Datos!I10-Datos!S10)/Datos!S10),(Datos!I10-Datos!S10)/Datos!S10," - ")</f>
        <v>9.7826086956521743E-2</v>
      </c>
      <c r="C10" s="456">
        <f>IF(ISNUMBER((Datos!J10-Datos!T10)/Datos!T10),(Datos!J10-Datos!T10)/Datos!T10," - ")</f>
        <v>-0.10897435897435898</v>
      </c>
      <c r="D10" s="456">
        <f>IF(ISNUMBER((Datos!K10-Datos!U10)/Datos!U10),(Datos!K10-Datos!U10)/Datos!U10," - ")</f>
        <v>-0.1388888888888889</v>
      </c>
      <c r="E10" s="456">
        <f>IF(ISNUMBER((Datos!L10-Datos!V10)/Datos!V10),(Datos!L10-Datos!V10)/Datos!V10," - ")</f>
        <v>0.16250000000000001</v>
      </c>
      <c r="F10" s="456">
        <f>IF(ISNUMBER((Datos!M10-Datos!W10)/Datos!W10),(Datos!M10-Datos!W10)/Datos!W10," - ")</f>
        <v>-0.38750000000000001</v>
      </c>
      <c r="G10" s="457">
        <f>IF(ISNUMBER((Datos!N10-Datos!X10)/Datos!X10),(Datos!N10-Datos!X10)/Datos!X10," - ")</f>
        <v>6.4102564102564097E-2</v>
      </c>
      <c r="H10" s="455">
        <f>IF(ISNUMBER(((NºAsuntos!G10/NºAsuntos!E10)-Datos!BD10)/Datos!BD10),((NºAsuntos!G10/NºAsuntos!E10)-Datos!BD10)/Datos!BD10," - ")</f>
        <v>-3.3573141486810509E-2</v>
      </c>
      <c r="I10" s="456">
        <f>IF(ISNUMBER(((NºAsuntos!I10/NºAsuntos!G10)-Datos!BE10)/Datos!BE10),((NºAsuntos!I10/NºAsuntos!G10)-Datos!BE10)/Datos!BE10," - ")</f>
        <v>0.35000000000000003</v>
      </c>
      <c r="J10" s="461">
        <f>IF(ISNUMBER((('Resol  Asuntos'!D10/NºAsuntos!G10)-Datos!BF10)/Datos!BF10),(('Resol  Asuntos'!D10/NºAsuntos!G10)-Datos!BF10)/Datos!BF10," - ")</f>
        <v>-0.28870967741935488</v>
      </c>
      <c r="K10" s="462">
        <f>IF(ISNUMBER((((NºAsuntos!C10+NºAsuntos!E10)/NºAsuntos!G10)-Datos!BG10)/Datos!BG10),(((NºAsuntos!C10+NºAsuntos!E10)/NºAsuntos!G10)-Datos!BG10)/Datos!BG10," - ")</f>
        <v>0.16470588235294131</v>
      </c>
    </row>
    <row r="11" spans="1:11">
      <c r="A11" s="402" t="str">
        <f>Datos!A11</f>
        <v xml:space="preserve">Jdos. Familia                                   </v>
      </c>
      <c r="B11" s="455">
        <f>IF(ISNUMBER(
   IF(J_V="SI",(Datos!I11-Datos!S11)/Datos!S11,(Datos!I11+Datos!Y11-(Datos!S11+Datos!AG11))/(Datos!S11+Datos!AG11))
     ),IF(J_V="SI",(Datos!I11-Datos!S11)/Datos!S11,(Datos!I11+Datos!Y11-(Datos!S11+Datos!AG11))/(Datos!S11+Datos!AG11))," - ")</f>
        <v>-6.9127516778523496E-2</v>
      </c>
      <c r="C11" s="456">
        <f>IF(ISNUMBER(
   IF(J_V="SI",(Datos!J11-Datos!T11)/Datos!T11,(Datos!J11+Datos!Z11-(Datos!T11+Datos!AH11))/(Datos!T11+Datos!AH11))
     ),IF(J_V="SI",(Datos!J11-Datos!T11)/Datos!T11,(Datos!J11+Datos!Z11-(Datos!T11+Datos!AH11))/(Datos!T11+Datos!AH11))," - ")</f>
        <v>-0.16864608076009502</v>
      </c>
      <c r="D11" s="456">
        <f>IF(ISNUMBER(
   IF(J_V="SI",(Datos!K11-Datos!U11)/Datos!U11,(Datos!K11+Datos!AA11-(Datos!U11+Datos!AI11))/(Datos!U11+Datos!AI11))
     ),IF(J_V="SI",(Datos!K11-Datos!U11)/Datos!U11,(Datos!K11+Datos!AA11-(Datos!U11+Datos!AI11))/(Datos!U11+Datos!AI11))," - ")</f>
        <v>-0.10931768158473955</v>
      </c>
      <c r="E11" s="456">
        <f>IF(ISNUMBER(
   IF(J_V="SI",(Datos!L11-Datos!V11)/Datos!V11,(Datos!L11+Datos!AB11-(Datos!V11+Datos!AJ11))/(Datos!V11+Datos!AJ11))
     ),IF(J_V="SI",(Datos!L11-Datos!V11)/Datos!V11,(Datos!L11+Datos!AB11-(Datos!V11+Datos!AJ11))/(Datos!V11+Datos!AJ11))," - ")</f>
        <v>-0.11887608069164265</v>
      </c>
      <c r="F11" s="456">
        <f>IF(ISNUMBER((Datos!M11-Datos!W11)/Datos!W11),(Datos!M11-Datos!W11)/Datos!W11," - ")</f>
        <v>-1.8656716417910446E-2</v>
      </c>
      <c r="G11" s="457">
        <f>IF(ISNUMBER((Datos!N11-Datos!X11)/Datos!X11),(Datos!N11-Datos!X11)/Datos!X11," - ")</f>
        <v>-2.5586353944562899E-2</v>
      </c>
      <c r="H11" s="455">
        <f>IF(ISNUMBER(((NºAsuntos!G11/NºAsuntos!E11)-Datos!BD11)/Datos!BD11),((NºAsuntos!G11/NºAsuntos!E11)-Datos!BD11)/Datos!BD11," - ")</f>
        <v>7.1363588722356194E-2</v>
      </c>
      <c r="I11" s="456">
        <f>IF(ISNUMBER(((NºAsuntos!I11/NºAsuntos!G11)-Datos!BE11)/Datos!BE11),((NºAsuntos!I11/NºAsuntos!G11)-Datos!BE11)/Datos!BE11," - ")</f>
        <v>-1.0731546937981097E-2</v>
      </c>
      <c r="J11" s="461">
        <f>IF(ISNUMBER((('Resol  Asuntos'!D11/NºAsuntos!G11)-Datos!BF11)/Datos!BF11),(('Resol  Asuntos'!D11/NºAsuntos!G11)-Datos!BF11)/Datos!BF11," - ")</f>
        <v>0.25918653379372836</v>
      </c>
      <c r="K11" s="462">
        <f>IF(ISNUMBER((((NºAsuntos!C11+NºAsuntos!E11)/NºAsuntos!G11)-Datos!BG11)/Datos!BG11),(((NºAsuntos!C11+NºAsuntos!E11)/NºAsuntos!G11)-Datos!BG11)/Datos!BG11," - ")</f>
        <v>-6.13708214671887E-3</v>
      </c>
    </row>
    <row r="12" spans="1:11" ht="13.5" thickBot="1">
      <c r="A12" s="402" t="str">
        <f>Datos!A12</f>
        <v xml:space="preserve">Jdos. 1ª Instª. e Instr.                        </v>
      </c>
      <c r="B12" s="455" t="str">
        <f>IF(ISNUMBER(
   IF(J_V="SI",(Datos!I12-Datos!S12)/Datos!S12,(Datos!I12+Datos!Y12-(Datos!S12+Datos!AG12))/(Datos!S12+Datos!AG12))
     ),IF(J_V="SI",(Datos!I12-Datos!S12)/Datos!S12,(Datos!I12+Datos!Y12-(Datos!S12+Datos!AG12))/(Datos!S12+Datos!AG12))," - ")</f>
        <v xml:space="preserve"> - </v>
      </c>
      <c r="C12" s="456" t="str">
        <f>IF(ISNUMBER(
   IF(J_V="SI",(Datos!J12-Datos!T12)/Datos!T12,(Datos!J12+Datos!Z12-(Datos!T12+Datos!AH12))/(Datos!T12+Datos!AH12))
     ),IF(J_V="SI",(Datos!J12-Datos!T12)/Datos!T12,(Datos!J12+Datos!Z12-(Datos!T12+Datos!AH12))/(Datos!T12+Datos!AH12))," - ")</f>
        <v xml:space="preserve"> - </v>
      </c>
      <c r="D12" s="456" t="str">
        <f>IF(ISNUMBER(
   IF(J_V="SI",(Datos!K12-Datos!U12)/Datos!U12,(Datos!K12+Datos!AA12-(Datos!U12+Datos!AI12))/(Datos!U12+Datos!AI12))
     ),IF(J_V="SI",(Datos!K12-Datos!U12)/Datos!U12,(Datos!K12+Datos!AA12-(Datos!U12+Datos!AI12))/(Datos!U12+Datos!AI12))," - ")</f>
        <v xml:space="preserve"> - </v>
      </c>
      <c r="E12" s="456" t="str">
        <f>IF(ISNUMBER(
   IF(J_V="SI",(Datos!L12-Datos!V12)/Datos!V12,(Datos!L12+Datos!AB12-(Datos!V12+Datos!AJ12))/(Datos!V12+Datos!AJ12))
     ),IF(J_V="SI",(Datos!L12-Datos!V12)/Datos!V12,(Datos!L12+Datos!AB12-(Datos!V12+Datos!AJ12))/(Datos!V12+Datos!AJ12))," - ")</f>
        <v xml:space="preserve"> - </v>
      </c>
      <c r="F12" s="456" t="str">
        <f>IF(ISNUMBER((Datos!M12-Datos!W12)/Datos!W12),(Datos!M12-Datos!W12)/Datos!W12," - ")</f>
        <v xml:space="preserve"> - </v>
      </c>
      <c r="G12" s="457" t="str">
        <f>IF(ISNUMBER((Datos!N12-Datos!X12)/Datos!X12),(Datos!N12-Datos!X12)/Datos!X12," - ")</f>
        <v xml:space="preserve"> - </v>
      </c>
      <c r="H12" s="455" t="str">
        <f>IF(ISNUMBER(((NºAsuntos!G12/NºAsuntos!E12)-Datos!BD12)/Datos!BD12),((NºAsuntos!G12/NºAsuntos!E12)-Datos!BD12)/Datos!BD12," - ")</f>
        <v xml:space="preserve"> - </v>
      </c>
      <c r="I12" s="456" t="str">
        <f>IF(ISNUMBER(((NºAsuntos!I12/NºAsuntos!G12)-Datos!BE12)/Datos!BE12),((NºAsuntos!I12/NºAsuntos!G12)-Datos!BE12)/Datos!BE12," - ")</f>
        <v xml:space="preserve"> - </v>
      </c>
      <c r="J12" s="461" t="str">
        <f>IF(ISNUMBER((('Resol  Asuntos'!D12/NºAsuntos!G12)-Datos!BF12)/Datos!BF12),(('Resol  Asuntos'!D12/NºAsuntos!G12)-Datos!BF12)/Datos!BF12," - ")</f>
        <v xml:space="preserve"> - </v>
      </c>
      <c r="K12" s="462" t="str">
        <f>IF(ISNUMBER((((NºAsuntos!C12+NºAsuntos!E12)/NºAsuntos!G12)-Datos!BG12)/Datos!BG12),(((NºAsuntos!C12+NºAsuntos!E12)/NºAsuntos!G12)-Datos!BG12)/Datos!BG12," - ")</f>
        <v xml:space="preserve"> - </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-3.6654986416788063E-2</v>
      </c>
      <c r="C13" s="855">
        <f>IF(ISNUMBER(
   IF(J_V="SI",(Datos!J13-Datos!T13)/Datos!T13,(Datos!J13+Datos!Z13-(Datos!T13+Datos!AH13))/(Datos!T13+Datos!AH13))
     ),IF(J_V="SI",(Datos!J13-Datos!T13)/Datos!T13,(Datos!J13+Datos!Z13-(Datos!T13+Datos!AH13))/(Datos!T13+Datos!AH13))," - ")</f>
        <v>-0.10121538155010959</v>
      </c>
      <c r="D13" s="855">
        <f>IF(ISNUMBER(
   IF(J_V="SI",(Datos!K13-Datos!U13)/Datos!U13,(Datos!K13+Datos!AA13-(Datos!U13+Datos!AI13))/(Datos!U13+Datos!AI13))
     ),IF(J_V="SI",(Datos!K13-Datos!U13)/Datos!U13,(Datos!K13+Datos!AA13-(Datos!U13+Datos!AI13))/(Datos!U13+Datos!AI13))," - ")</f>
        <v>1.8212951432129514E-2</v>
      </c>
      <c r="E13" s="855">
        <f>IF(ISNUMBER(
   IF(J_V="SI",(Datos!L13-Datos!V13)/Datos!V13,(Datos!L13+Datos!AB13-(Datos!V13+Datos!AJ13))/(Datos!V13+Datos!AJ13))
     ),IF(J_V="SI",(Datos!L13-Datos!V13)/Datos!V13,(Datos!L13+Datos!AB13-(Datos!V13+Datos!AJ13))/(Datos!V13+Datos!AJ13))," - ")</f>
        <v>-9.2298775628486554E-2</v>
      </c>
      <c r="F13" s="856">
        <f>IF(ISNUMBER((Datos!M13-Datos!W13)/Datos!W13),(Datos!M13-Datos!W13)/Datos!W13," - ")</f>
        <v>0.17374701670644391</v>
      </c>
      <c r="G13" s="857">
        <f>IF(ISNUMBER((Datos!N13-Datos!X13)/Datos!X13),(Datos!N13-Datos!X13)/Datos!X13," - ")</f>
        <v>2.1031207598371779E-2</v>
      </c>
      <c r="H13" s="857">
        <f>IF(ISNUMBER(((NºAsuntos!G13/NºAsuntos!E13)-Datos!BD13)/Datos!BD13),((NºAsuntos!G13/NºAsuntos!E13)-Datos!BD13)/Datos!BD13," - ")</f>
        <v>0.13287758883570336</v>
      </c>
      <c r="I13" s="857">
        <f>IF(ISNUMBER(((NºAsuntos!I13/NºAsuntos!G13)-Datos!BE13)/Datos!BE13),((NºAsuntos!I13/NºAsuntos!G13)-Datos!BE13)/Datos!BE13," - ")</f>
        <v>-0.10853498465638246</v>
      </c>
      <c r="J13" s="857">
        <f>IF(ISNUMBER((('Resol  Asuntos'!D13/NºAsuntos!G13)-Datos!BF13)/Datos!BF13),(('Resol  Asuntos'!D13/NºAsuntos!G13)-Datos!BF13)/Datos!BF13," - ")</f>
        <v>9.1779132488271978E-2</v>
      </c>
      <c r="K13" s="857">
        <f>IF(ISNUMBER((((NºAsuntos!C13+NºAsuntos!E13)/NºAsuntos!G13)-Datos!BG13)/Datos!BG13),(((NºAsuntos!C13+NºAsuntos!E13)/NºAsuntos!G13)-Datos!BG13)/Datos!BG13," - ")</f>
        <v>-7.7484933491872465E-2</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f>IF(ISNUMBER(
   IF(D_I="SI",(Datos!I15-Datos!S15)/Datos!S15,(Datos!I15+Datos!AC15-(Datos!S15+Datos!AK15))/(Datos!S15+Datos!AK15))
     ),IF(D_I="SI",(Datos!I15-Datos!S15)/Datos!S15,(Datos!I15+Datos!AC15-(Datos!S15+Datos!AK15))/(Datos!S15+Datos!AK15))," - ")</f>
        <v>-6.91471847217649E-3</v>
      </c>
      <c r="C15" s="456">
        <f>IF(ISNUMBER(
   IF(D_I="SI",(Datos!J15-Datos!T15)/Datos!T15,(Datos!J15+Datos!AD15-(Datos!T15+Datos!AL15))/(Datos!T15+Datos!AL15))
     ),IF(D_I="SI",(Datos!J15-Datos!T15)/Datos!T15,(Datos!J15+Datos!AD15-(Datos!T15+Datos!AL15))/(Datos!T15+Datos!AL15))," - ")</f>
        <v>-7.8277573235152872E-2</v>
      </c>
      <c r="D15" s="456">
        <f>IF(ISNUMBER(
   IF(D_I="SI",(Datos!K15-Datos!U15)/Datos!U15,(Datos!K15+Datos!AE15-(Datos!U15+Datos!AM15))/(Datos!U15+Datos!AM15))
     ),IF(D_I="SI",(Datos!K15-Datos!U15)/Datos!U15,(Datos!K15+Datos!AE15-(Datos!U15+Datos!AM15))/(Datos!U15+Datos!AM15))," - ")</f>
        <v>-5.6207195150751788E-2</v>
      </c>
      <c r="E15" s="456">
        <f>IF(ISNUMBER(
   IF(D_I="SI",(Datos!L15-Datos!V15)/Datos!V15,(Datos!L15+Datos!AF15-(Datos!V15+Datos!AN15))/(Datos!V15+Datos!AN15))
     ),IF(D_I="SI",(Datos!L15-Datos!V15)/Datos!V15,(Datos!L15+Datos!AF15-(Datos!V15+Datos!AN15))/(Datos!V15+Datos!AN15))," - ")</f>
        <v>-6.3373415664608385E-2</v>
      </c>
      <c r="F15" s="456">
        <f>IF(ISNUMBER((Datos!M15-Datos!W15)/Datos!W15),(Datos!M15-Datos!W15)/Datos!W15," - ")</f>
        <v>-0.1641337386018237</v>
      </c>
      <c r="G15" s="457">
        <f>IF(ISNUMBER((Datos!N15-Datos!X15)/Datos!X15),(Datos!N15-Datos!X15)/Datos!X15," - ")</f>
        <v>-6.4033366045142301E-2</v>
      </c>
      <c r="H15" s="455">
        <f>IF(ISNUMBER(((NºAsuntos!G15/NºAsuntos!E15)-Datos!BD15)/Datos!BD15),((NºAsuntos!G15/NºAsuntos!E15)-Datos!BD15)/Datos!BD15," - ")</f>
        <v>2.3944712034257278E-2</v>
      </c>
      <c r="I15" s="456">
        <f>IF(ISNUMBER(((NºAsuntos!I15/NºAsuntos!G15)-Datos!BE15)/Datos!BE15),((NºAsuntos!I15/NºAsuntos!G15)-Datos!BE15)/Datos!BE15," - ")</f>
        <v>-7.5930018506564041E-3</v>
      </c>
      <c r="J15" s="461">
        <f>IF(ISNUMBER((('Resol  Asuntos'!D15/NºAsuntos!G15)-Datos!BF15)/Datos!BF15),(('Resol  Asuntos'!D15/NºAsuntos!G15)-Datos!BF15)/Datos!BF15," - ")</f>
        <v>-0.11435406468087125</v>
      </c>
      <c r="K15" s="462">
        <f>IF(ISNUMBER((((NºAsuntos!C15+NºAsuntos!E15)/NºAsuntos!G15)-Datos!BG15)/Datos!BG15),(((NºAsuntos!C15+NºAsuntos!E15)/NºAsuntos!G15)-Datos!BG15)/Datos!BG15," - ")</f>
        <v>1.349847873260496E-3</v>
      </c>
    </row>
    <row r="16" spans="1:11">
      <c r="A16" s="402" t="str">
        <f>Datos!A16</f>
        <v xml:space="preserve">Jdos. 1ª Instª. e Instr.                        </v>
      </c>
      <c r="B16" s="455" t="str">
        <f>IF(ISNUMBER(
   IF(D_I="SI",(Datos!I16-Datos!S16)/Datos!S16,(Datos!I16+Datos!AC16-(Datos!S16+Datos!AK16))/(Datos!S16+Datos!AK16))
     ),IF(D_I="SI",(Datos!I16-Datos!S16)/Datos!S16,(Datos!I16+Datos!AC16-(Datos!S16+Datos!AK16))/(Datos!S16+Datos!AK16))," - ")</f>
        <v xml:space="preserve"> - </v>
      </c>
      <c r="C16" s="456" t="str">
        <f>IF(ISNUMBER(
   IF(D_I="SI",(Datos!J16-Datos!T16)/Datos!T16,(Datos!J16+Datos!AD16-(Datos!T16+Datos!AL16))/(Datos!T16+Datos!AL16))
     ),IF(D_I="SI",(Datos!J16-Datos!T16)/Datos!T16,(Datos!J16+Datos!AD16-(Datos!T16+Datos!AL16))/(Datos!T16+Datos!AL16))," - ")</f>
        <v xml:space="preserve"> - </v>
      </c>
      <c r="D16" s="456" t="str">
        <f>IF(ISNUMBER(
   IF(D_I="SI",(Datos!K16-Datos!U16)/Datos!U16,(Datos!K16+Datos!AE16-(Datos!U16+Datos!AM16))/(Datos!U16+Datos!AM16))
     ),IF(D_I="SI",(Datos!K16-Datos!U16)/Datos!U16,(Datos!K16+Datos!AE16-(Datos!U16+Datos!AM16))/(Datos!U16+Datos!AM16))," - ")</f>
        <v xml:space="preserve"> - </v>
      </c>
      <c r="E16" s="456" t="str">
        <f>IF(ISNUMBER(
   IF(D_I="SI",(Datos!L16-Datos!V16)/Datos!V16,(Datos!L16+Datos!AF16-(Datos!V16+Datos!AN16))/(Datos!V16+Datos!AN16))
     ),IF(D_I="SI",(Datos!L16-Datos!V16)/Datos!V16,(Datos!L16+Datos!AF16-(Datos!V16+Datos!AN16))/(Datos!V16+Datos!AN16))," - ")</f>
        <v xml:space="preserve"> - </v>
      </c>
      <c r="F16" s="456" t="str">
        <f>IF(ISNUMBER((Datos!M16-Datos!W16)/Datos!W16),(Datos!M16-Datos!W16)/Datos!W16," - ")</f>
        <v xml:space="preserve"> - </v>
      </c>
      <c r="G16" s="457" t="str">
        <f>IF(ISNUMBER((Datos!N16-Datos!X16)/Datos!X16),(Datos!N16-Datos!X16)/Datos!X16," - ")</f>
        <v xml:space="preserve"> - </v>
      </c>
      <c r="H16" s="455" t="str">
        <f>IF(ISNUMBER(((NºAsuntos!G16/NºAsuntos!E16)-Datos!BD16)/Datos!BD16),((NºAsuntos!G16/NºAsuntos!E16)-Datos!BD16)/Datos!BD16," - ")</f>
        <v xml:space="preserve"> - </v>
      </c>
      <c r="I16" s="456" t="str">
        <f>IF(ISNUMBER(((NºAsuntos!I16/NºAsuntos!G16)-Datos!BE16)/Datos!BE16),((NºAsuntos!I16/NºAsuntos!G16)-Datos!BE16)/Datos!BE16," - ")</f>
        <v xml:space="preserve"> - </v>
      </c>
      <c r="J16" s="461" t="str">
        <f>IF(ISNUMBER((('Resol  Asuntos'!D16/NºAsuntos!G16)-Datos!BF16)/Datos!BF16),(('Resol  Asuntos'!D16/NºAsuntos!G16)-Datos!BF16)/Datos!BF16," - ")</f>
        <v xml:space="preserve"> - </v>
      </c>
      <c r="K16" s="462" t="str">
        <f>IF(ISNUMBER((((NºAsuntos!C16+NºAsuntos!E16)/NºAsuntos!G16)-Datos!BG16)/Datos!BG16),(((NºAsuntos!C16+NºAsuntos!E16)/NºAsuntos!G16)-Datos!BG16)/Datos!BG16," - ")</f>
        <v xml:space="preserve"> - </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-9.2920353982300891E-2</v>
      </c>
      <c r="C17" s="456">
        <f>IF(ISNUMBER(
   IF(D_I="SI",(Datos!J17-Datos!T17)/Datos!T17,(Datos!J17+Datos!AD17-(Datos!T17+Datos!AL17))/(Datos!T17+Datos!AL17))
     ),IF(D_I="SI",(Datos!J17-Datos!T17)/Datos!T17,(Datos!J17+Datos!AD17-(Datos!T17+Datos!AL17))/(Datos!T17+Datos!AL17))," - ")</f>
        <v>-0.21105527638190955</v>
      </c>
      <c r="D17" s="456">
        <f>IF(ISNUMBER(
   IF(D_I="SI",(Datos!K17-Datos!U17)/Datos!U17,(Datos!K17+Datos!AE17-(Datos!U17+Datos!AM17))/(Datos!U17+Datos!AM17))
     ),IF(D_I="SI",(Datos!K17-Datos!U17)/Datos!U17,(Datos!K17+Datos!AE17-(Datos!U17+Datos!AM17))/(Datos!U17+Datos!AM17))," - ")</f>
        <v>-0.15337796713329277</v>
      </c>
      <c r="E17" s="456">
        <f>IF(ISNUMBER(
   IF(D_I="SI",(Datos!L17-Datos!V17)/Datos!V17,(Datos!L17+Datos!AF17-(Datos!V17+Datos!AN17))/(Datos!V17+Datos!AN17))
     ),IF(D_I="SI",(Datos!L17-Datos!V17)/Datos!V17,(Datos!L17+Datos!AF17-(Datos!V17+Datos!AN17))/(Datos!V17+Datos!AN17))," - ")</f>
        <v>-0.24105011933174225</v>
      </c>
      <c r="F17" s="456">
        <f>IF(ISNUMBER((Datos!M17-Datos!W17)/Datos!W17),(Datos!M17-Datos!W17)/Datos!W17," - ")</f>
        <v>-0.14285714285714285</v>
      </c>
      <c r="G17" s="457">
        <f>IF(ISNUMBER((Datos!N17-Datos!X17)/Datos!X17),(Datos!N17-Datos!X17)/Datos!X17," - ")</f>
        <v>6.2583222370173108E-2</v>
      </c>
      <c r="H17" s="455">
        <f>IF(ISNUMBER(((NºAsuntos!G17/NºAsuntos!E17)-Datos!BD17)/Datos!BD17),((NºAsuntos!G17/NºAsuntos!E17)-Datos!BD17)/Datos!BD17," - ")</f>
        <v>7.3106907901112961E-2</v>
      </c>
      <c r="I17" s="456">
        <f>IF(ISNUMBER(((NºAsuntos!I17/NºAsuntos!G17)-Datos!BE17)/Datos!BE17),((NºAsuntos!I17/NºAsuntos!G17)-Datos!BE17)/Datos!BE17," - ")</f>
        <v>-0.1035552451919861</v>
      </c>
      <c r="J17" s="461">
        <f>IF(ISNUMBER((('Resol  Asuntos'!D17/NºAsuntos!G17)-Datos!BF17)/Datos!BF17),(('Resol  Asuntos'!D17/NºAsuntos!G17)-Datos!BF17)/Datos!BF17," - ")</f>
        <v>1.2426825510937611E-2</v>
      </c>
      <c r="K17" s="462">
        <f>IF(ISNUMBER((((NºAsuntos!C17+NºAsuntos!E17)/NºAsuntos!G17)-Datos!BG17)/Datos!BG17),(((NºAsuntos!C17+NºAsuntos!E17)/NºAsuntos!G17)-Datos!BG17)/Datos!BG17," - ")</f>
        <v>-3.7269925056380167E-2</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-1.2871590560833588E-2</v>
      </c>
      <c r="C18" s="855">
        <f>IF(ISNUMBER(
   IF(Criterios!B14="SI",(Datos!J18-Datos!T18)/Datos!T18,(Datos!J18+Datos!AD18-(Datos!T18+Datos!AL18))/(Datos!T18+Datos!AL18))
     ),IF(Criterios!B14="SI",(Datos!J18-Datos!T18)/Datos!T18,(Datos!J18+Datos!AD18-(Datos!T18+Datos!AL18))/(Datos!T18+Datos!AL18))," - ")</f>
        <v>-9.3284111884140278E-2</v>
      </c>
      <c r="D18" s="855">
        <f>IF(ISNUMBER(
   IF(Criterios!B14="SI",(Datos!K18-Datos!U18)/Datos!U18,(Datos!K18+Datos!AE18-(Datos!U18+Datos!AM18))/(Datos!U18+Datos!AM18))
     ),IF(Criterios!B14="SI",(Datos!K18-Datos!U18)/Datos!U18,(Datos!K18+Datos!AE18-(Datos!U18+Datos!AM18))/(Datos!U18+Datos!AM18))," - ")</f>
        <v>-6.7335842743621921E-2</v>
      </c>
      <c r="E18" s="855">
        <f>IF(ISNUMBER(
   IF(Criterios!B14="SI",(Datos!L18-Datos!V18)/Datos!V18,(Datos!L18+Datos!AF18-(Datos!V18+Datos!AN18))/(Datos!V18+Datos!AN18))
     ),IF(Criterios!B14="SI",(Datos!L18-Datos!V18)/Datos!V18,(Datos!L18+Datos!AF18-(Datos!V18+Datos!AN18))/(Datos!V18+Datos!AN18))," - ")</f>
        <v>-7.4699528373649779E-2</v>
      </c>
      <c r="F18" s="856">
        <f>IF(ISNUMBER((Datos!M18-Datos!W18)/Datos!W18),(Datos!M18-Datos!W18)/Datos!W18," - ")</f>
        <v>-0.16218081435472739</v>
      </c>
      <c r="G18" s="857">
        <f>IF(ISNUMBER((Datos!N18-Datos!X18)/Datos!X18),(Datos!N18-Datos!X18)/Datos!X18," - ")</f>
        <v>-5.3352802426148489E-2</v>
      </c>
      <c r="H18" s="857">
        <f>IF(ISNUMBER(((NºAsuntos!G18/NºAsuntos!E18)-Datos!BD18)/Datos!BD18),((NºAsuntos!G18/NºAsuntos!E18)-Datos!BD18)/Datos!BD18," - ")</f>
        <v>2.8617860876396929E-2</v>
      </c>
      <c r="I18" s="857">
        <f>IF(ISNUMBER(((NºAsuntos!I18/NºAsuntos!G18)-Datos!BE18)/Datos!BE18),((NºAsuntos!I18/NºAsuntos!G18)-Datos!BE18)/Datos!BE18," - ")</f>
        <v>-7.8953239199088428E-3</v>
      </c>
      <c r="J18" s="857">
        <f>IF(ISNUMBER((('Resol  Asuntos'!D18/NºAsuntos!G18)-Datos!BF18)/Datos!BF18),(('Resol  Asuntos'!D18/NºAsuntos!G18)-Datos!BF18)/Datos!BF18," - ")</f>
        <v>-0.10169252337316283</v>
      </c>
      <c r="K18" s="857">
        <f>IF(ISNUMBER((((NºAsuntos!C18+NºAsuntos!E18)/NºAsuntos!G18)-Datos!BG18)/Datos!BG18),(((NºAsuntos!C18+NºAsuntos!E18)/NºAsuntos!G18)-Datos!BG18)/Datos!BG18," - ")</f>
        <v>-5.2401013298016149E-4</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-3.1793265465935784E-2</v>
      </c>
      <c r="C19" s="802">
        <f>IF(ISNUMBER(
   IF(J_V="SI",(Datos!J19-Datos!T19)/Datos!T19,(Datos!J19+Datos!Z19-(Datos!T19+Datos!AH19))/(Datos!T19+Datos!AH19))
     ),IF(J_V="SI",(Datos!J19-Datos!T19)/Datos!T19,(Datos!J19+Datos!Z19-(Datos!T19+Datos!AH19))/(Datos!T19+Datos!AH19))," - ")</f>
        <v>-9.738187557904128E-2</v>
      </c>
      <c r="D19" s="802">
        <f>IF(ISNUMBER(
   IF(J_V="SI",(Datos!K19-Datos!U19)/Datos!U19,(Datos!K19+Datos!AA19-(Datos!U19+Datos!AI19))/(Datos!U19+Datos!AI19))
     ),IF(J_V="SI",(Datos!K19-Datos!U19)/Datos!U19,(Datos!K19+Datos!AA19-(Datos!U19+Datos!AI19))/(Datos!U19+Datos!AI19))," - ")</f>
        <v>-2.6917702434360521E-2</v>
      </c>
      <c r="E19" s="802">
        <f>IF(ISNUMBER(
   IF(J_V="SI",(Datos!L19-Datos!V19)/Datos!V19,(Datos!L19+Datos!AB19-(Datos!V19+Datos!AJ19))/(Datos!V19+Datos!AJ19))
     ),IF(J_V="SI",(Datos!L19-Datos!V19)/Datos!V19,(Datos!L19+Datos!AB19-(Datos!V19+Datos!AJ19))/(Datos!V19+Datos!AJ19))," - ")</f>
        <v>-8.8914245589396992E-2</v>
      </c>
      <c r="F19" s="803">
        <f>IF(ISNUMBER((Datos!M19-Datos!W19)/Datos!W19),(Datos!M19-Datos!W19)/Datos!W19," - ")</f>
        <v>8.742684873204469E-2</v>
      </c>
      <c r="G19" s="804">
        <f>IF(ISNUMBER((Datos!N19-Datos!X19)/Datos!X19),(Datos!N19-Datos!X19)/Datos!X19," - ")</f>
        <v>-2.8667917448405255E-2</v>
      </c>
      <c r="H19" s="805">
        <f>IF(ISNUMBER((Tasas!B19-Datos!BD19)/Datos!BD19),(Tasas!B19-Datos!BD19)/Datos!BD19," - ")</f>
        <v>7.8066428357933079E-2</v>
      </c>
      <c r="I19" s="806">
        <f>IF(ISNUMBER((Tasas!C19-Datos!BE19)/Datos!BE19),(Tasas!C19-Datos!BE19)/Datos!BE19," - ")</f>
        <v>-6.371151064008998E-2</v>
      </c>
      <c r="J19" s="807">
        <f>IF(ISNUMBER((Tasas!D19-Datos!BF19)/Datos!BF19),(Tasas!D19-Datos!BF19)/Datos!BF19," - ")</f>
        <v>7.2982338494428742E-2</v>
      </c>
      <c r="K19" s="807">
        <f>IF(ISNUMBER((Tasas!E19-Datos!BG19)/Datos!BG19),(Tasas!E19-Datos!BG19)/Datos!BG19," - ")</f>
        <v>-3.7176606986425921E-2</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24 sep.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UdQncI2fewj7pxRQhBw9+Yc1vwbO5T6aB0lAhRYqZi8jq2Wwn8f9yc3EmdHQJ/3Ft11YgDT6RPEHdUNZNxQ6aA==" saltValue="5olMQvKzQuzrnJ7l+LnH5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ARAGON</v>
      </c>
    </row>
    <row r="3" spans="1:7" ht="19.5">
      <c r="A3" s="436" t="s">
        <v>12</v>
      </c>
      <c r="B3" s="391" t="str">
        <f>Criterios!A10 &amp;"  "&amp;Criterios!B10</f>
        <v>Provincias  ZARAGOZA</v>
      </c>
    </row>
    <row r="4" spans="1:7" ht="11.25" customHeight="1" thickBot="1">
      <c r="B4" s="391" t="str">
        <f>Criterios!A11 &amp;"  "&amp;Criterios!B11</f>
        <v>Resumenes por Partidos Judiciales  ZARAGOZA</v>
      </c>
    </row>
    <row r="5" spans="1:7" ht="12.75" customHeight="1">
      <c r="A5" s="1210" t="str">
        <f>"Año:  " &amp;Criterios!B5 &amp; "    Trimestre   " &amp;Criterios!D5 &amp; " al " &amp;Criterios!D6</f>
        <v>Año:  2025    Trimestre   2 al 2</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f>IF(ISNUMBER(NºAsuntos!G9/NºAsuntos!E9),NºAsuntos!G9/NºAsuntos!E9," - ")</f>
        <v>0.94888204795852238</v>
      </c>
      <c r="C9" s="443">
        <f>IF(ISNUMBER(NºAsuntos!I9/NºAsuntos!G9),NºAsuntos!I9/NºAsuntos!G9," - ")</f>
        <v>2.0190386749765219</v>
      </c>
      <c r="D9" s="444">
        <f>IF(ISNUMBER('Resol  Asuntos'!D9/NºAsuntos!G9),'Resol  Asuntos'!D9/NºAsuntos!G9," - ")</f>
        <v>0.37078459830957056</v>
      </c>
      <c r="E9" s="445">
        <f>IF(ISNUMBER((NºAsuntos!C9+NºAsuntos!E9)/NºAsuntos!G9),(NºAsuntos!C9+NºAsuntos!E9)/NºAsuntos!G9," - ")</f>
        <v>3.007171518825237</v>
      </c>
      <c r="G9" s="463"/>
    </row>
    <row r="10" spans="1:7">
      <c r="A10" s="402" t="str">
        <f>Datos!A10</f>
        <v>Jdos. Violencia contra la mujer</v>
      </c>
      <c r="B10" s="442">
        <f>IF(ISNUMBER(NºAsuntos!G10/NºAsuntos!E10),NºAsuntos!G10/NºAsuntos!E10," - ")</f>
        <v>1.1151079136690647</v>
      </c>
      <c r="C10" s="443">
        <f>IF(ISNUMBER(NºAsuntos!I10/NºAsuntos!G10),NºAsuntos!I10/NºAsuntos!G10," - ")</f>
        <v>1.2</v>
      </c>
      <c r="D10" s="444">
        <f>IF(ISNUMBER('Resol  Asuntos'!D10/NºAsuntos!G10),'Resol  Asuntos'!D10/NºAsuntos!G10," - ")</f>
        <v>0.31612903225806449</v>
      </c>
      <c r="E10" s="445">
        <f>IF(ISNUMBER((NºAsuntos!C10+NºAsuntos!E10)/NºAsuntos!G10),(NºAsuntos!C10+NºAsuntos!E10)/NºAsuntos!G10," - ")</f>
        <v>2.2000000000000002</v>
      </c>
      <c r="G10" s="463"/>
    </row>
    <row r="11" spans="1:7">
      <c r="A11" s="402" t="str">
        <f>Datos!A11</f>
        <v xml:space="preserve">Jdos. Familia                                   </v>
      </c>
      <c r="B11" s="442">
        <f>IF(ISNUMBER(NºAsuntos!G11/NºAsuntos!E11),NºAsuntos!G11/NºAsuntos!E11," - ")</f>
        <v>1.1561904761904762</v>
      </c>
      <c r="C11" s="443">
        <f>IF(ISNUMBER(NºAsuntos!I11/NºAsuntos!G11),NºAsuntos!I11/NºAsuntos!G11," - ")</f>
        <v>1.0074135090609555</v>
      </c>
      <c r="D11" s="444">
        <f>IF(ISNUMBER('Resol  Asuntos'!D11/NºAsuntos!G11),'Resol  Asuntos'!D11/NºAsuntos!G11," - ")</f>
        <v>0.4332784184514003</v>
      </c>
      <c r="E11" s="445">
        <f>IF(ISNUMBER((NºAsuntos!C11+NºAsuntos!E11)/NºAsuntos!G11),(NºAsuntos!C11+NºAsuntos!E11)/NºAsuntos!G11," - ")</f>
        <v>2.0074135090609557</v>
      </c>
      <c r="G11" s="463"/>
    </row>
    <row r="12" spans="1:7" ht="13.5" thickBot="1">
      <c r="A12" s="402" t="str">
        <f>Datos!A12</f>
        <v xml:space="preserve">Jdos. 1ª Instª. e Instr.                        </v>
      </c>
      <c r="B12" s="442" t="str">
        <f>IF(ISNUMBER(NºAsuntos!G12/NºAsuntos!E12),NºAsuntos!G12/NºAsuntos!E12," - ")</f>
        <v xml:space="preserve"> - </v>
      </c>
      <c r="C12" s="443" t="str">
        <f>IF(ISNUMBER(NºAsuntos!I12/NºAsuntos!G12),NºAsuntos!I12/NºAsuntos!G12," - ")</f>
        <v xml:space="preserve"> - </v>
      </c>
      <c r="D12" s="444" t="str">
        <f>IF(ISNUMBER('Resol  Asuntos'!D12/NºAsuntos!G12),'Resol  Asuntos'!D12/NºAsuntos!G12," - ")</f>
        <v xml:space="preserve"> - </v>
      </c>
      <c r="E12" s="445" t="str">
        <f>IF(ISNUMBER((NºAsuntos!C12+NºAsuntos!E12)/NºAsuntos!G12),(NºAsuntos!C12+NºAsuntos!E12)/NºAsuntos!G12," - ")</f>
        <v xml:space="preserve"> - </v>
      </c>
      <c r="G12" s="463"/>
    </row>
    <row r="13" spans="1:7" ht="14.25" thickTop="1" thickBot="1">
      <c r="A13" s="848" t="str">
        <f>Datos!A13</f>
        <v>TOTAL</v>
      </c>
      <c r="B13" s="858">
        <f>IF(ISNUMBER(NºAsuntos!G13/NºAsuntos!E13),NºAsuntos!G13/NºAsuntos!E13," - ")</f>
        <v>0.9666740560112318</v>
      </c>
      <c r="C13" s="859">
        <f>IF(ISNUMBER(NºAsuntos!I13/NºAsuntos!G13),NºAsuntos!I13/NºAsuntos!G13," - ")</f>
        <v>1.9154563522397188</v>
      </c>
      <c r="D13" s="860">
        <f>IF(ISNUMBER('Resol  Asuntos'!D13/NºAsuntos!G13),'Resol  Asuntos'!D13/NºAsuntos!G13," - ")</f>
        <v>0.37593640116190186</v>
      </c>
      <c r="E13" s="861">
        <f>IF(ISNUMBER((NºAsuntos!C13+NºAsuntos!E13)/NºAsuntos!G13),(NºAsuntos!C13+NºAsuntos!E13)/NºAsuntos!G13," - ")</f>
        <v>2.9048310655863019</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f>IF(ISNUMBER(NºAsuntos!G15/NºAsuntos!E15),NºAsuntos!G15/NºAsuntos!E15," - ")</f>
        <v>1.0410732893365753</v>
      </c>
      <c r="C15" s="443">
        <f>IF(ISNUMBER(NºAsuntos!I15/NºAsuntos!G15),NºAsuntos!I15/NºAsuntos!G15," - ")</f>
        <v>0.48077404287263326</v>
      </c>
      <c r="D15" s="444">
        <f>IF(ISNUMBER('Resol  Asuntos'!D15/NºAsuntos!G15),'Resol  Asuntos'!D15/NºAsuntos!G15," - ")</f>
        <v>9.1750771540578868E-2</v>
      </c>
      <c r="E15" s="445">
        <f>IF(ISNUMBER((NºAsuntos!C15+NºAsuntos!E15)/NºAsuntos!G15),(NºAsuntos!C15+NºAsuntos!E15)/NºAsuntos!G15," - ")</f>
        <v>1.4636750354491617</v>
      </c>
      <c r="G15" s="463"/>
    </row>
    <row r="16" spans="1:7">
      <c r="A16" s="402" t="str">
        <f>Datos!A16</f>
        <v xml:space="preserve">Jdos. 1ª Instª. e Instr.                        </v>
      </c>
      <c r="B16" s="442" t="str">
        <f>IF(ISNUMBER(NºAsuntos!G16/NºAsuntos!E16),NºAsuntos!G16/NºAsuntos!E16," - ")</f>
        <v xml:space="preserve"> - </v>
      </c>
      <c r="C16" s="443" t="str">
        <f>IF(ISNUMBER(NºAsuntos!I16/NºAsuntos!G16),NºAsuntos!I16/NºAsuntos!G16," - ")</f>
        <v xml:space="preserve"> - </v>
      </c>
      <c r="D16" s="444" t="str">
        <f>IF(ISNUMBER('Resol  Asuntos'!D16/NºAsuntos!G16),'Resol  Asuntos'!D16/NºAsuntos!G16," - ")</f>
        <v xml:space="preserve"> - </v>
      </c>
      <c r="E16" s="445" t="str">
        <f>IF(ISNUMBER((NºAsuntos!C16+NºAsuntos!E16)/NºAsuntos!G16),(NºAsuntos!C16+NºAsuntos!E16)/NºAsuntos!G16," - ")</f>
        <v xml:space="preserve"> - </v>
      </c>
      <c r="G16" s="463"/>
    </row>
    <row r="17" spans="1:7" ht="13.5" thickBot="1">
      <c r="A17" s="402" t="str">
        <f>Datos!A17</f>
        <v>Jdos. Violencia contra la mujer</v>
      </c>
      <c r="B17" s="442">
        <f>IF(ISNUMBER(NºAsuntos!G17/NºAsuntos!E17),NºAsuntos!G17/NºAsuntos!E17," - ")</f>
        <v>1.1074840764331211</v>
      </c>
      <c r="C17" s="443">
        <f>IF(ISNUMBER(NºAsuntos!I17/NºAsuntos!G17),NºAsuntos!I17/NºAsuntos!G17," - ")</f>
        <v>0.22861250898634075</v>
      </c>
      <c r="D17" s="444">
        <f>IF(ISNUMBER('Resol  Asuntos'!D17/NºAsuntos!G17),'Resol  Asuntos'!D17/NºAsuntos!G17," - ")</f>
        <v>8.1955427749820273E-2</v>
      </c>
      <c r="E17" s="445">
        <f>IF(ISNUMBER((NºAsuntos!C17+NºAsuntos!E17)/NºAsuntos!G17),(NºAsuntos!C17+NºAsuntos!E17)/NºAsuntos!G17," - ")</f>
        <v>1.1976994967649173</v>
      </c>
      <c r="G17" s="463"/>
    </row>
    <row r="18" spans="1:7" ht="14.25" thickTop="1" thickBot="1">
      <c r="A18" s="848" t="str">
        <f>Datos!A18</f>
        <v>TOTAL</v>
      </c>
      <c r="B18" s="858">
        <f>IF(ISNUMBER(NºAsuntos!G18/NºAsuntos!E18),NºAsuntos!G18/NºAsuntos!E18," - ")</f>
        <v>1.0476041340432196</v>
      </c>
      <c r="C18" s="859">
        <f>IF(ISNUMBER(NºAsuntos!I18/NºAsuntos!G18),NºAsuntos!I18/NºAsuntos!G18," - ")</f>
        <v>0.45455904334828101</v>
      </c>
      <c r="D18" s="862">
        <f>IF(ISNUMBER('Resol  Asuntos'!D18/NºAsuntos!G18),'Resol  Asuntos'!D18/NºAsuntos!G18," - ")</f>
        <v>9.0732436472346786E-2</v>
      </c>
      <c r="E18" s="861">
        <f>IF(ISNUMBER((NºAsuntos!C18+NºAsuntos!E18)/NºAsuntos!G18),(NºAsuntos!C18+NºAsuntos!E18)/NºAsuntos!G18," - ")</f>
        <v>1.4360239162929747</v>
      </c>
      <c r="G18" s="463"/>
    </row>
    <row r="19" spans="1:7" ht="15.75" customHeight="1" thickTop="1" thickBot="1">
      <c r="A19" s="793" t="str">
        <f>Datos!A19</f>
        <v>TOTAL JURISDICCIONES</v>
      </c>
      <c r="B19" s="808">
        <f>IF(ISNUMBER(NºAsuntos!G19/NºAsuntos!E19),NºAsuntos!G19/NºAsuntos!E19," - ")</f>
        <v>1.0059684470632959</v>
      </c>
      <c r="C19" s="809">
        <f>IF(ISNUMBER(NºAsuntos!I19/NºAsuntos!G19),NºAsuntos!I19/NºAsuntos!G19," - ")</f>
        <v>1.1767818003174364</v>
      </c>
      <c r="D19" s="810">
        <f>IF(ISNUMBER('Resol  Asuntos'!D19/NºAsuntos!G19),'Resol  Asuntos'!D19/NºAsuntos!G19," - ")</f>
        <v>0.2317285163630867</v>
      </c>
      <c r="E19" s="811">
        <f>IF(ISNUMBER((NºAsuntos!C19+NºAsuntos!E19)/NºAsuntos!G19),(NºAsuntos!C19+NºAsuntos!E19)/NºAsuntos!G19," - ")</f>
        <v>2.1621570554001965</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24 sep.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LmJ7ynX+TVwxV/+I0WXtwJxm0xlSVWttMmaKKKpzqp6KnvdtEyzFTLrDoTPRiOAwkv2PUQ0gVG55CvZjShirsQ==" saltValue="gRJbGVd/ExJbha9Vy2fds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ARAGON</v>
      </c>
      <c r="G2" s="263"/>
      <c r="H2" s="262"/>
      <c r="I2" s="262"/>
      <c r="J2" s="262"/>
      <c r="K2" s="262"/>
      <c r="L2" s="262" t="str">
        <f>Criterios!A10 &amp;"  "&amp;Criterios!B10</f>
        <v>Provincias  ZARAGOZA</v>
      </c>
      <c r="N2" s="262" t="str">
        <f>Criterios!A11 &amp;"  "&amp;Criterios!B11</f>
        <v>Resumenes por Partidos Judiciales  ZARAGOZA</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2025          Trimestre   2 al 2</v>
      </c>
      <c r="D5" s="1245" t="s">
        <v>376</v>
      </c>
      <c r="E5" s="1245" t="s">
        <v>318</v>
      </c>
      <c r="F5" s="1268" t="s">
        <v>406</v>
      </c>
      <c r="G5" s="1271" t="s">
        <v>128</v>
      </c>
      <c r="H5" s="1251" t="s">
        <v>160</v>
      </c>
      <c r="I5" s="1251" t="s">
        <v>164</v>
      </c>
      <c r="J5" s="1251" t="s">
        <v>165</v>
      </c>
      <c r="K5" s="1251" t="s">
        <v>407</v>
      </c>
      <c r="L5" s="1251" t="s">
        <v>582</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828</v>
      </c>
      <c r="AX5" s="1245" t="s">
        <v>321</v>
      </c>
      <c r="AY5" s="1245" t="s">
        <v>746</v>
      </c>
      <c r="AZ5" s="1245" t="s">
        <v>747</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19</v>
      </c>
      <c r="B9" s="177" t="s">
        <v>246</v>
      </c>
      <c r="C9" s="160" t="str">
        <f>Datos!A9</f>
        <v xml:space="preserve">Jdos. 1ª Instancia   </v>
      </c>
      <c r="D9" s="160"/>
      <c r="E9" s="1025">
        <f>IF(ISNUMBER(Datos!AQ9),Datos!AQ9," - ")</f>
        <v>19</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3127</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f>IF(ISNUMBER(Datos!Q9),Datos!Q9," - ")</f>
        <v>1725</v>
      </c>
      <c r="Y9" s="334">
        <f>SUM(W9:X9)</f>
        <v>1725</v>
      </c>
      <c r="Z9" s="335" t="str">
        <f>IF(ISNUMBER(Datos!CC9),Datos!CC9," - ")</f>
        <v xml:space="preserve"> - </v>
      </c>
      <c r="AA9" s="332" t="str">
        <f>IF(ISNUMBER(IF(J_V="SI",Datos!L9,Datos!L9+Datos!AB9)-IF(Monitorios="SI",Datos!CD9,0)),
                          IF(J_V="SI",Datos!L9,Datos!L9+Datos!AB9)-IF(Monitorios="SI",Datos!CD9,0),
                          " - ")</f>
        <v xml:space="preserve"> - </v>
      </c>
      <c r="AB9" s="334">
        <f>IF(ISNUMBER(Datos!R9),Datos!R9," - ")</f>
        <v>35880</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f>IF(ISNUMBER(Datos!M9),Datos!M9," - ")</f>
        <v>4343</v>
      </c>
      <c r="AJ9" s="229" t="str">
        <f>IF(ISNUMBER(Datos!BW9),Datos!BW9," - ")</f>
        <v xml:space="preserve"> - </v>
      </c>
      <c r="AK9" s="228" t="str">
        <f>IF(ISNUMBER(Datos!BX9),Datos!BX9," - ")</f>
        <v xml:space="preserve"> - </v>
      </c>
      <c r="AL9" s="243">
        <f>IF(ISNUMBER(NºAsuntos!G9/NºAsuntos!E9),NºAsuntos!G9/NºAsuntos!E9," - ")</f>
        <v>0.94888204795852238</v>
      </c>
      <c r="AM9" s="260">
        <f>IF(ISNUMBER(((NºAsuntos!I9/NºAsuntos!G9)*11)/factor_trimestre),((NºAsuntos!I9/NºAsuntos!G9)*11)/factor_trimestre," - ")</f>
        <v>6.0571160249295666</v>
      </c>
      <c r="AN9" s="244">
        <f>IF(ISNUMBER('Resol  Asuntos'!D9/NºAsuntos!G9),'Resol  Asuntos'!D9/NºAsuntos!G9," - ")</f>
        <v>0.37078459830957056</v>
      </c>
      <c r="AO9" s="245">
        <f>IF(ISNUMBER((NºAsuntos!C9+NºAsuntos!E9)/NºAsuntos!G9),(NºAsuntos!C9+NºAsuntos!E9)/NºAsuntos!G9," - ")</f>
        <v>3.007171518825237</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3</v>
      </c>
      <c r="B10" s="275" t="s">
        <v>246</v>
      </c>
      <c r="C10" s="7" t="str">
        <f>Datos!A10</f>
        <v>Jdos. Violencia contra la mujer</v>
      </c>
      <c r="D10" s="7"/>
      <c r="E10" s="1025">
        <f>IF(ISNUMBER(Datos!AQ10),Datos!AQ10," - ")</f>
        <v>3</v>
      </c>
      <c r="F10" s="225">
        <f>IF(ISNUMBER(Datos!L10+Datos!K10-Datos!J10-K10),Datos!L10+Datos!K10-Datos!J10-K10," - ")</f>
        <v>202</v>
      </c>
      <c r="G10" s="333">
        <f>IF(ISNUMBER(Datos!I10),Datos!I10," - ")</f>
        <v>202</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33</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155</v>
      </c>
      <c r="X10" s="226">
        <f>IF(ISNUMBER(Datos!Q10),Datos!Q10," - ")</f>
        <v>30</v>
      </c>
      <c r="Y10" s="334">
        <f t="shared" ref="Y10:Y12" si="0">SUM(W10:X10)</f>
        <v>185</v>
      </c>
      <c r="Z10" s="335" t="str">
        <f>IF(ISNUMBER(Datos!CC10),Datos!CC10," - ")</f>
        <v xml:space="preserve"> - </v>
      </c>
      <c r="AA10" s="332">
        <f>IF(ISNUMBER(Datos!L10),Datos!L10,"-")</f>
        <v>186</v>
      </c>
      <c r="AB10" s="334">
        <f>IF(ISNUMBER(Datos!R10),Datos!R10," - ")</f>
        <v>290</v>
      </c>
      <c r="AC10" s="334">
        <f t="shared" ref="AC10:AC12" si="1">IF(ISNUMBER(AA10+AB10),AA10+AB10," - ")</f>
        <v>476</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49</v>
      </c>
      <c r="AJ10" s="231" t="str">
        <f>IF(ISNUMBER(Datos!BW10),Datos!BW10," - ")</f>
        <v xml:space="preserve"> - </v>
      </c>
      <c r="AK10" s="232" t="str">
        <f>IF(ISNUMBER(Datos!BX10),Datos!BX10," - ")</f>
        <v xml:space="preserve"> - </v>
      </c>
      <c r="AL10" s="243">
        <f>IF(ISNUMBER(NºAsuntos!G10/NºAsuntos!E10),NºAsuntos!G10/NºAsuntos!E10," - ")</f>
        <v>1.1151079136690647</v>
      </c>
      <c r="AM10" s="260">
        <f>IF(ISNUMBER(((NºAsuntos!I10/NºAsuntos!G10)*11)/factor_trimestre),((NºAsuntos!I10/NºAsuntos!G10)*11)/factor_trimestre," - ")</f>
        <v>3.6</v>
      </c>
      <c r="AN10" s="244">
        <f>IF(ISNUMBER('Resol  Asuntos'!D10/NºAsuntos!G10),'Resol  Asuntos'!D10/NºAsuntos!G10," - ")</f>
        <v>0.31612903225806449</v>
      </c>
      <c r="AO10" s="245">
        <f>IF(ISNUMBER((NºAsuntos!C10+NºAsuntos!E10)/NºAsuntos!G10),(NºAsuntos!C10+NºAsuntos!E10)/NºAsuntos!G10," - ")</f>
        <v>2.2000000000000002</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4</v>
      </c>
      <c r="B11" s="275" t="s">
        <v>246</v>
      </c>
      <c r="C11" s="7" t="str">
        <f>Datos!A11</f>
        <v xml:space="preserve">Jdos. Familia                                   </v>
      </c>
      <c r="D11" s="7"/>
      <c r="E11" s="1025">
        <f>IF(ISNUMBER(Datos!AQ11),Datos!AQ11," - ")</f>
        <v>4</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140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f>IF(ISNUMBER(Datos!Q11),Datos!Q11," - ")</f>
        <v>191</v>
      </c>
      <c r="Y11" s="334">
        <f t="shared" si="0"/>
        <v>191</v>
      </c>
      <c r="Z11" s="335" t="str">
        <f>IF(ISNUMBER(Datos!CC11),Datos!CC11," - ")</f>
        <v xml:space="preserve"> - </v>
      </c>
      <c r="AA11" s="332" t="str">
        <f>IF(ISNUMBER(IF(J_V="SI",Datos!L11,Datos!L11+Datos!AB11)-IF(Monitorios="SI",Datos!CD11,0)),
                          IF(J_V="SI",Datos!L11,Datos!L11+Datos!AB11)-IF(Monitorios="SI",Datos!CD11,0),
                          " - ")</f>
        <v xml:space="preserve"> - </v>
      </c>
      <c r="AB11" s="334">
        <f>IF(ISNUMBER(Datos!R11),Datos!R11," - ")</f>
        <v>1381</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f>IF(ISNUMBER(Datos!M11),Datos!M11," - ")</f>
        <v>526</v>
      </c>
      <c r="AJ11" s="231" t="str">
        <f>IF(ISNUMBER(Datos!BW11),Datos!BW11," - ")</f>
        <v xml:space="preserve"> - </v>
      </c>
      <c r="AK11" s="232" t="str">
        <f>IF(ISNUMBER(Datos!BX11),Datos!BX11," - ")</f>
        <v xml:space="preserve"> - </v>
      </c>
      <c r="AL11" s="243">
        <f>IF(ISNUMBER(NºAsuntos!G11/NºAsuntos!E11),NºAsuntos!G11/NºAsuntos!E11," - ")</f>
        <v>1.1561904761904762</v>
      </c>
      <c r="AM11" s="260">
        <f>IF(ISNUMBER(((NºAsuntos!I11/NºAsuntos!G11)*11)/factor_trimestre),((NºAsuntos!I11/NºAsuntos!G11)*11)/factor_trimestre," - ")</f>
        <v>3.0222405271828667</v>
      </c>
      <c r="AN11" s="244">
        <f>IF(ISNUMBER('Resol  Asuntos'!D11/NºAsuntos!G11),'Resol  Asuntos'!D11/NºAsuntos!G11," - ")</f>
        <v>0.4332784184514003</v>
      </c>
      <c r="AO11" s="245">
        <f>IF(ISNUMBER((NºAsuntos!C11+NºAsuntos!E11)/NºAsuntos!G11),(NºAsuntos!C11+NºAsuntos!E11)/NºAsuntos!G11," - ")</f>
        <v>2.0074135090609557</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0</v>
      </c>
      <c r="B12" s="275" t="s">
        <v>246</v>
      </c>
      <c r="C12" s="7" t="str">
        <f>Datos!A12</f>
        <v xml:space="preserve">Jdos. 1ª Instª. e Instr.                        </v>
      </c>
      <c r="D12" s="7"/>
      <c r="E12" s="1025">
        <f>IF(ISNUMBER(Datos!AQ12),Datos!AQ12," - ")</f>
        <v>0</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0</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t="str">
        <f>IF(ISNUMBER(Datos!Q12),Datos!Q12," - ")</f>
        <v xml:space="preserve"> - </v>
      </c>
      <c r="Y12" s="334">
        <f t="shared" si="0"/>
        <v>0</v>
      </c>
      <c r="Z12" s="335" t="str">
        <f>IF(ISNUMBER(Datos!CC12),Datos!CC12," - ")</f>
        <v xml:space="preserve"> - </v>
      </c>
      <c r="AA12" s="332" t="str">
        <f>IF(ISNUMBER(IF(J_V="SI",Datos!L12,Datos!L12+Datos!AB12)-IF(Monitorios="SI",Datos!CD12,0)),
                          IF(J_V="SI",Datos!L12,Datos!L12+Datos!AB12)-IF(Monitorios="SI",Datos!CD12,0),
                          " - ")</f>
        <v xml:space="preserve"> - </v>
      </c>
      <c r="AB12" s="334" t="str">
        <f>IF(ISNUMBER(Datos!R12),Datos!R12," - ")</f>
        <v xml:space="preserve"> - </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t="str">
        <f>IF(ISNUMBER(Datos!M12),Datos!M12," - ")</f>
        <v xml:space="preserve"> - </v>
      </c>
      <c r="AJ12" s="229" t="str">
        <f>IF(ISNUMBER(Datos!BW12),Datos!BW12," - ")</f>
        <v xml:space="preserve"> - </v>
      </c>
      <c r="AK12" s="228" t="str">
        <f>IF(ISNUMBER(Datos!BX12),Datos!BX12," - ")</f>
        <v xml:space="preserve"> - </v>
      </c>
      <c r="AL12" s="243" t="str">
        <f>IF(ISNUMBER(NºAsuntos!G12/NºAsuntos!E12),NºAsuntos!G12/NºAsuntos!E12," - ")</f>
        <v xml:space="preserve"> - </v>
      </c>
      <c r="AM12" s="260" t="str">
        <f>IF(ISNUMBER(((NºAsuntos!I12/NºAsuntos!G12)*11)/factor_trimestre),((NºAsuntos!I12/NºAsuntos!G12)*11)/factor_trimestre," - ")</f>
        <v xml:space="preserve"> - </v>
      </c>
      <c r="AN12" s="244" t="str">
        <f>IF(ISNUMBER('Resol  Asuntos'!D12/NºAsuntos!G12),'Resol  Asuntos'!D12/NºAsuntos!G12," - ")</f>
        <v xml:space="preserve"> - </v>
      </c>
      <c r="AO12" s="245" t="str">
        <f>IF(ISNUMBER((NºAsuntos!C12+NºAsuntos!E12)/NºAsuntos!G12),(NºAsuntos!C12+NºAsuntos!E12)/NºAsuntos!G12," - ")</f>
        <v xml:space="preserve"> - </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26</v>
      </c>
      <c r="F13" s="865">
        <f t="shared" si="3"/>
        <v>202</v>
      </c>
      <c r="G13" s="866">
        <f t="shared" si="3"/>
        <v>202</v>
      </c>
      <c r="H13" s="865">
        <f t="shared" si="3"/>
        <v>0</v>
      </c>
      <c r="I13" s="867">
        <f t="shared" si="3"/>
        <v>0</v>
      </c>
      <c r="J13" s="867">
        <f t="shared" si="3"/>
        <v>0</v>
      </c>
      <c r="K13" s="867">
        <f t="shared" si="3"/>
        <v>0</v>
      </c>
      <c r="L13" s="867">
        <f t="shared" si="3"/>
        <v>3300</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155</v>
      </c>
      <c r="X13" s="867">
        <f t="shared" si="4"/>
        <v>1946</v>
      </c>
      <c r="Y13" s="868">
        <f t="shared" si="4"/>
        <v>2101</v>
      </c>
      <c r="Z13" s="868">
        <f t="shared" si="4"/>
        <v>0</v>
      </c>
      <c r="AA13" s="868">
        <f t="shared" si="4"/>
        <v>186</v>
      </c>
      <c r="AB13" s="868">
        <f t="shared" si="4"/>
        <v>37551</v>
      </c>
      <c r="AC13" s="868">
        <f t="shared" si="4"/>
        <v>476</v>
      </c>
      <c r="AD13" s="868">
        <f t="shared" si="4"/>
        <v>0</v>
      </c>
      <c r="AE13" s="872">
        <f t="shared" si="4"/>
        <v>0</v>
      </c>
      <c r="AF13" s="865">
        <f t="shared" si="4"/>
        <v>0</v>
      </c>
      <c r="AG13" s="873">
        <f t="shared" si="4"/>
        <v>0</v>
      </c>
      <c r="AH13" s="870">
        <f t="shared" si="4"/>
        <v>0</v>
      </c>
      <c r="AI13" s="865">
        <f t="shared" si="4"/>
        <v>4918</v>
      </c>
      <c r="AJ13" s="867">
        <f t="shared" si="4"/>
        <v>0</v>
      </c>
      <c r="AK13" s="870">
        <f>SUBTOTAL(9,AK9:AK12)</f>
        <v>0</v>
      </c>
      <c r="AL13" s="874">
        <f>IF(ISNUMBER(NºAsuntos!G13/NºAsuntos!E13),NºAsuntos!G13/NºAsuntos!E13," - ")</f>
        <v>0.9666740560112318</v>
      </c>
      <c r="AM13" s="874">
        <f>IF(ISNUMBER(((NºAsuntos!I13/NºAsuntos!G13)*11)/factor_trimestre),((NºAsuntos!I13/NºAsuntos!G13)*11)/factor_trimestre," - ")</f>
        <v>5.7463690567191561</v>
      </c>
      <c r="AN13" s="875">
        <f>IF(ISNUMBER('Resol  Asuntos'!D13/NºAsuntos!G13),'Resol  Asuntos'!D13/NºAsuntos!G13," - ")</f>
        <v>0.37593640116190186</v>
      </c>
      <c r="AO13" s="876">
        <f>IF(ISNUMBER((NºAsuntos!C13+NºAsuntos!E13)/NºAsuntos!G13),(NºAsuntos!C13+NºAsuntos!E13)/NºAsuntos!G13," - ")</f>
        <v>2.9048310655863019</v>
      </c>
      <c r="AP13" s="877" t="str">
        <f t="shared" si="2"/>
        <v xml:space="preserve"> - </v>
      </c>
      <c r="AQ13" s="877">
        <f>IF(ISNUMBER((H13-W13+K13)/(F13)),(H13-W13+K13)/(F13)," - ")</f>
        <v>-0.76732673267326734</v>
      </c>
      <c r="AR13" s="878">
        <f>IF(ISNUMBER((Datos!P13-Datos!Q13)/(Datos!R13-Datos!P13+Datos!Q13)),(Datos!P13-Datos!Q13)/(Datos!R13-Datos!P13+Datos!Q13)," - ")</f>
        <v>3.7406414896262119E-2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12</v>
      </c>
      <c r="B15" s="275" t="s">
        <v>396</v>
      </c>
      <c r="C15" s="160" t="str">
        <f>Datos!A15</f>
        <v xml:space="preserve">Jdos. Instrucción                               </v>
      </c>
      <c r="D15" s="160"/>
      <c r="E15" s="1025">
        <f>IF(ISNUMBER(Datos!AQ15),Datos!AQ15," - ")</f>
        <v>12</v>
      </c>
      <c r="F15" s="225">
        <f>IF(ISNUMBER(AA15+W15-Datos!J15-K15),AA15+W15-Datos!J15-K15," - ")</f>
        <v>6237</v>
      </c>
      <c r="G15" s="333">
        <f>IF(ISNUMBER(IF(D_I="SI",Datos!I15,Datos!I15+Datos!AC15)),IF(D_I="SI",Datos!I15,Datos!I15+Datos!AC15)," - ")</f>
        <v>6032</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536</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f>IF(ISNUMBER(IF(D_I="SI",Datos!K15,Datos!K15+Datos!AE15)),IF(D_I="SI",Datos!K15,Datos!K15+Datos!AE15)," - ")</f>
        <v>11989</v>
      </c>
      <c r="X15" s="226">
        <f>IF(ISNUMBER(Datos!Q15),Datos!Q15," - ")</f>
        <v>561</v>
      </c>
      <c r="Y15" s="334">
        <f>SUM(W15)</f>
        <v>11989</v>
      </c>
      <c r="Z15" s="335" t="str">
        <f>IF(ISNUMBER(Datos!CC15),Datos!CC15," - ")</f>
        <v xml:space="preserve"> - </v>
      </c>
      <c r="AA15" s="332">
        <f>IF(ISNUMBER(IF(D_I="SI",Datos!L15,Datos!L15+Datos!AF15)),IF(D_I="SI",Datos!L15,Datos!L15+Datos!AF15)," - ")</f>
        <v>5764</v>
      </c>
      <c r="AB15" s="334">
        <f>IF(ISNUMBER(Datos!R15),Datos!R15," - ")</f>
        <v>1190</v>
      </c>
      <c r="AC15" s="334">
        <f t="shared" ref="AC15:AC17" si="6">IF(ISNUMBER(AA15+AB15),AA15+AB15," - ")</f>
        <v>6954</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f>IF(ISNUMBER(Datos!M15),Datos!M15," - ")</f>
        <v>1100</v>
      </c>
      <c r="AJ15" s="231" t="str">
        <f>IF(ISNUMBER(Datos!BW15),Datos!BW15," - ")</f>
        <v xml:space="preserve"> - </v>
      </c>
      <c r="AK15" s="232" t="str">
        <f>IF(ISNUMBER(Datos!BX15),Datos!BX15," - ")</f>
        <v xml:space="preserve"> - </v>
      </c>
      <c r="AL15" s="243">
        <f>IF(ISNUMBER(NºAsuntos!G15/NºAsuntos!E15),NºAsuntos!G15/NºAsuntos!E15," - ")</f>
        <v>1.0410732893365753</v>
      </c>
      <c r="AM15" s="260">
        <f>IF(ISNUMBER(((NºAsuntos!I15/NºAsuntos!G15)*11)/factor_trimestre),((NºAsuntos!I15/NºAsuntos!G15)*11)/factor_trimestre," - ")</f>
        <v>1.4423221286178998</v>
      </c>
      <c r="AN15" s="244">
        <f>IF(ISNUMBER('Resol  Asuntos'!D15/NºAsuntos!G15),'Resol  Asuntos'!D15/NºAsuntos!G15," - ")</f>
        <v>9.1750771540578868E-2</v>
      </c>
      <c r="AO15" s="245">
        <f>IF(ISNUMBER((NºAsuntos!C15+NºAsuntos!E15)/NºAsuntos!G15),(NºAsuntos!C15+NºAsuntos!E15)/NºAsuntos!G15," - ")</f>
        <v>1.4636750354491617</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0</v>
      </c>
      <c r="B16" s="275" t="s">
        <v>396</v>
      </c>
      <c r="C16" s="160" t="str">
        <f>Datos!A16</f>
        <v xml:space="preserve">Jdos. 1ª Instª. e Instr.                        </v>
      </c>
      <c r="D16" s="160"/>
      <c r="E16" s="1025">
        <f>IF(ISNUMBER(Datos!AQ16),Datos!AQ16," - ")</f>
        <v>0</v>
      </c>
      <c r="F16" s="225" t="str">
        <f>IF(ISNUMBER(AA16+W16-Datos!J16-K16),AA16+W16-Datos!J16-K16," - ")</f>
        <v xml:space="preserve"> - </v>
      </c>
      <c r="G16" s="333" t="str">
        <f>IF(ISNUMBER(IF(D_I="SI",Datos!I16,Datos!I16+Datos!AC16)),IF(D_I="SI",Datos!I16,Datos!I16+Datos!AC16)," - ")</f>
        <v xml:space="preserve"> - </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0</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t="str">
        <f>IF(ISNUMBER(IF(D_I="SI",Datos!K16,Datos!K16+Datos!AE16)),IF(D_I="SI",Datos!K16,Datos!K16+Datos!AE16)," - ")</f>
        <v xml:space="preserve"> - </v>
      </c>
      <c r="X16" s="226" t="str">
        <f>IF(ISNUMBER(Datos!Q16),Datos!Q16," - ")</f>
        <v xml:space="preserve"> - </v>
      </c>
      <c r="Y16" s="334">
        <f t="shared" ref="Y16:Y17" si="7">SUM(W16:X16)</f>
        <v>0</v>
      </c>
      <c r="Z16" s="335" t="str">
        <f>IF(ISNUMBER(Datos!CC16),Datos!CC16," - ")</f>
        <v xml:space="preserve"> - </v>
      </c>
      <c r="AA16" s="332" t="str">
        <f>IF(ISNUMBER(IF(D_I="SI",Datos!L16,Datos!L16+Datos!AF16)),IF(D_I="SI",Datos!L16,Datos!L16+Datos!AF16)," - ")</f>
        <v xml:space="preserve"> - </v>
      </c>
      <c r="AB16" s="334" t="str">
        <f>IF(ISNUMBER(Datos!R16),Datos!R16," - ")</f>
        <v xml:space="preserve"> - </v>
      </c>
      <c r="AC16" s="334" t="str">
        <f t="shared" si="6"/>
        <v xml:space="preserve"> - </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t="str">
        <f>IF(ISNUMBER(Datos!M16),Datos!M16," - ")</f>
        <v xml:space="preserve"> - </v>
      </c>
      <c r="AJ16" s="231" t="str">
        <f>IF(ISNUMBER(Datos!BW16),Datos!BW16," - ")</f>
        <v xml:space="preserve"> - </v>
      </c>
      <c r="AK16" s="232" t="str">
        <f>IF(ISNUMBER(Datos!BX16),Datos!BX16," - ")</f>
        <v xml:space="preserve"> - </v>
      </c>
      <c r="AL16" s="243" t="str">
        <f>IF(ISNUMBER(NºAsuntos!G16/NºAsuntos!E16),NºAsuntos!G16/NºAsuntos!E16," - ")</f>
        <v xml:space="preserve"> - </v>
      </c>
      <c r="AM16" s="260" t="str">
        <f>IF(ISNUMBER(((NºAsuntos!I16/NºAsuntos!G16)*11)/factor_trimestre),((NºAsuntos!I16/NºAsuntos!G16)*11)/factor_trimestre," - ")</f>
        <v xml:space="preserve"> - </v>
      </c>
      <c r="AN16" s="244" t="str">
        <f>IF(ISNUMBER('Resol  Asuntos'!D16/NºAsuntos!G16),'Resol  Asuntos'!D16/NºAsuntos!G16," - ")</f>
        <v xml:space="preserve"> - </v>
      </c>
      <c r="AO16" s="245" t="str">
        <f>IF(ISNUMBER((NºAsuntos!C16+NºAsuntos!E16)/NºAsuntos!G16),(NºAsuntos!C16+NºAsuntos!E16)/NºAsuntos!G16," - ")</f>
        <v xml:space="preserve"> - </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3</v>
      </c>
      <c r="B17" s="275" t="s">
        <v>396</v>
      </c>
      <c r="C17" s="7" t="str">
        <f>Datos!A17</f>
        <v>Jdos. Violencia contra la mujer</v>
      </c>
      <c r="D17" s="7"/>
      <c r="E17" s="1025">
        <f>IF(ISNUMBER(Datos!AQ17),Datos!AQ17," - ")</f>
        <v>3</v>
      </c>
      <c r="F17" s="225" t="str">
        <f>IF(ISNUMBER(AA17+W17-H17-K17),AA17+W17-H17-K17," - ")</f>
        <v xml:space="preserve"> - </v>
      </c>
      <c r="G17" s="333">
        <f>IF(ISNUMBER(IF(D_I="SI",Datos!I17,Datos!I17+Datos!AC17)),IF(D_I="SI",Datos!I17,Datos!I17+Datos!AC17)," - ")</f>
        <v>410</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13</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1391</v>
      </c>
      <c r="X17" s="226">
        <f>IF(ISNUMBER(Datos!Q17),Datos!Q17," - ")</f>
        <v>23</v>
      </c>
      <c r="Y17" s="334">
        <f t="shared" si="7"/>
        <v>1414</v>
      </c>
      <c r="Z17" s="335" t="str">
        <f>IF(ISNUMBER(Datos!CC17),Datos!CC17," - ")</f>
        <v xml:space="preserve"> - </v>
      </c>
      <c r="AA17" s="332">
        <f>IF(ISNUMBER(Datos!L17),Datos!L17,"-")</f>
        <v>318</v>
      </c>
      <c r="AB17" s="334">
        <f>IF(ISNUMBER(Datos!R17),Datos!R17," - ")</f>
        <v>31</v>
      </c>
      <c r="AC17" s="334">
        <f t="shared" si="6"/>
        <v>349</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114</v>
      </c>
      <c r="AJ17" s="231" t="str">
        <f>IF(ISNUMBER(Datos!BW17),Datos!BW17," - ")</f>
        <v xml:space="preserve"> - </v>
      </c>
      <c r="AK17" s="232" t="str">
        <f>IF(ISNUMBER(Datos!BX17),Datos!BX17," - ")</f>
        <v xml:space="preserve"> - </v>
      </c>
      <c r="AL17" s="243">
        <f>IF(ISNUMBER(NºAsuntos!G17/NºAsuntos!E17),NºAsuntos!G17/NºAsuntos!E17," - ")</f>
        <v>1.1074840764331211</v>
      </c>
      <c r="AM17" s="260">
        <f>IF(ISNUMBER(((NºAsuntos!I17/NºAsuntos!G17)*11)/factor_trimestre),((NºAsuntos!I17/NºAsuntos!G17)*11)/factor_trimestre," - ")</f>
        <v>0.68583752695902223</v>
      </c>
      <c r="AN17" s="244">
        <f>IF(ISNUMBER('Resol  Asuntos'!D17/NºAsuntos!G17),'Resol  Asuntos'!D17/NºAsuntos!G17," - ")</f>
        <v>8.1955427749820273E-2</v>
      </c>
      <c r="AO17" s="245">
        <f>IF(ISNUMBER((NºAsuntos!C17+NºAsuntos!E17)/NºAsuntos!G17),(NºAsuntos!C17+NºAsuntos!E17)/NºAsuntos!G17," - ")</f>
        <v>1.1976994967649173</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15</v>
      </c>
      <c r="F18" s="865">
        <f>SUBTOTAL(9,F14:F17)</f>
        <v>6237</v>
      </c>
      <c r="G18" s="866">
        <f>SUBTOTAL(9,G15:G17)</f>
        <v>6442</v>
      </c>
      <c r="H18" s="865">
        <f t="shared" ref="H18:O18" si="10">SUBTOTAL(9,H14:H17)</f>
        <v>0</v>
      </c>
      <c r="I18" s="867">
        <f t="shared" si="10"/>
        <v>0</v>
      </c>
      <c r="J18" s="867">
        <f t="shared" si="10"/>
        <v>0</v>
      </c>
      <c r="K18" s="867">
        <f t="shared" si="10"/>
        <v>0</v>
      </c>
      <c r="L18" s="867">
        <f t="shared" si="10"/>
        <v>549</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13380</v>
      </c>
      <c r="X18" s="867">
        <f t="shared" si="11"/>
        <v>584</v>
      </c>
      <c r="Y18" s="868">
        <f t="shared" si="11"/>
        <v>13403</v>
      </c>
      <c r="Z18" s="868">
        <f t="shared" si="11"/>
        <v>0</v>
      </c>
      <c r="AA18" s="868">
        <f t="shared" si="11"/>
        <v>6082</v>
      </c>
      <c r="AB18" s="868">
        <f t="shared" si="11"/>
        <v>1221</v>
      </c>
      <c r="AC18" s="868">
        <f t="shared" si="11"/>
        <v>7303</v>
      </c>
      <c r="AD18" s="868">
        <f t="shared" si="11"/>
        <v>0</v>
      </c>
      <c r="AE18" s="872">
        <f t="shared" si="11"/>
        <v>0</v>
      </c>
      <c r="AF18" s="865">
        <f t="shared" si="11"/>
        <v>0</v>
      </c>
      <c r="AG18" s="873">
        <f t="shared" si="11"/>
        <v>0</v>
      </c>
      <c r="AH18" s="870">
        <f t="shared" si="11"/>
        <v>0</v>
      </c>
      <c r="AI18" s="865">
        <f t="shared" si="11"/>
        <v>1214</v>
      </c>
      <c r="AJ18" s="867">
        <f t="shared" si="11"/>
        <v>0</v>
      </c>
      <c r="AK18" s="870">
        <f t="shared" si="11"/>
        <v>0</v>
      </c>
      <c r="AL18" s="874">
        <f>IF(ISNUMBER(NºAsuntos!G18/NºAsuntos!E18),NºAsuntos!G18/NºAsuntos!E18," - ")</f>
        <v>1.0476041340432196</v>
      </c>
      <c r="AM18" s="874">
        <f>IF(ISNUMBER(((NºAsuntos!I18/NºAsuntos!G18)*11)/factor_trimestre),((NºAsuntos!I18/NºAsuntos!G18)*11)/factor_trimestre," - ")</f>
        <v>1.3636771300448431</v>
      </c>
      <c r="AN18" s="875">
        <f>IF(ISNUMBER('Resol  Asuntos'!D18/NºAsuntos!G18),'Resol  Asuntos'!D18/NºAsuntos!G18," - ")</f>
        <v>9.0732436472346786E-2</v>
      </c>
      <c r="AO18" s="876">
        <f>IF(ISNUMBER((NºAsuntos!C18+NºAsuntos!E18)/NºAsuntos!G18),(NºAsuntos!C18+NºAsuntos!E18)/NºAsuntos!G18," - ")</f>
        <v>1.4360239162929747</v>
      </c>
      <c r="AP18" s="877" t="str">
        <f t="shared" si="2"/>
        <v xml:space="preserve"> - </v>
      </c>
      <c r="AQ18" s="877">
        <f>IF(ISNUMBER((H18-W18+K18)/(F18)),(H18-W18+K18)/(F18)," - ")</f>
        <v>-2.1452621452621452</v>
      </c>
      <c r="AR18" s="878">
        <f>IF(ISNUMBER((Datos!P18-Datos!Q18)/(Datos!R18-Datos!P18+Datos!Q18)),(Datos!P18-Datos!Q18)/(Datos!R18-Datos!P18+Datos!Q18)," - ")</f>
        <v>-2.7866242038216561E-2</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41</v>
      </c>
      <c r="F19" s="820">
        <f t="shared" si="13"/>
        <v>6439</v>
      </c>
      <c r="G19" s="821">
        <f t="shared" si="13"/>
        <v>6644</v>
      </c>
      <c r="H19" s="820">
        <f t="shared" si="13"/>
        <v>0</v>
      </c>
      <c r="I19" s="822">
        <f t="shared" si="13"/>
        <v>0</v>
      </c>
      <c r="J19" s="822">
        <f t="shared" si="13"/>
        <v>0</v>
      </c>
      <c r="K19" s="881">
        <f t="shared" si="13"/>
        <v>0</v>
      </c>
      <c r="L19" s="822">
        <f t="shared" si="13"/>
        <v>3849</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13535</v>
      </c>
      <c r="X19" s="821">
        <f t="shared" si="14"/>
        <v>2530</v>
      </c>
      <c r="Y19" s="828">
        <f t="shared" si="14"/>
        <v>15504</v>
      </c>
      <c r="Z19" s="828">
        <f t="shared" si="14"/>
        <v>0</v>
      </c>
      <c r="AA19" s="828">
        <f t="shared" si="14"/>
        <v>6268</v>
      </c>
      <c r="AB19" s="828">
        <f t="shared" si="14"/>
        <v>38772</v>
      </c>
      <c r="AC19" s="828">
        <f t="shared" si="14"/>
        <v>7779</v>
      </c>
      <c r="AD19" s="828">
        <f t="shared" si="14"/>
        <v>0</v>
      </c>
      <c r="AE19" s="830">
        <f t="shared" si="14"/>
        <v>0</v>
      </c>
      <c r="AF19" s="831">
        <f t="shared" si="14"/>
        <v>0</v>
      </c>
      <c r="AG19" s="832">
        <f t="shared" si="14"/>
        <v>0</v>
      </c>
      <c r="AH19" s="830">
        <f t="shared" si="14"/>
        <v>0</v>
      </c>
      <c r="AI19" s="820">
        <f t="shared" si="14"/>
        <v>6132</v>
      </c>
      <c r="AJ19" s="820">
        <f t="shared" si="14"/>
        <v>0</v>
      </c>
      <c r="AK19" s="830">
        <f t="shared" si="14"/>
        <v>0</v>
      </c>
      <c r="AL19" s="884">
        <f>IF(ISNUMBER(NºAsuntos!G19/NºAsuntos!E19),NºAsuntos!G19/NºAsuntos!E19," - ")</f>
        <v>1.0059684470632959</v>
      </c>
      <c r="AM19" s="885">
        <f>IF(ISNUMBER(((NºAsuntos!I19/NºAsuntos!G19)*11)/factor_trimestre),((NºAsuntos!I19/NºAsuntos!G19)*11)/factor_trimestre," - ")</f>
        <v>3.5303454009523096</v>
      </c>
      <c r="AN19" s="885">
        <f>IF(ISNUMBER('Resol  Asuntos'!D19/NºAsuntos!G19),'Resol  Asuntos'!D19/NºAsuntos!G19," - ")</f>
        <v>0.2317285163630867</v>
      </c>
      <c r="AO19" s="886">
        <f>IF(ISNUMBER((NºAsuntos!C19+NºAsuntos!E19)/NºAsuntos!G19),(NºAsuntos!C19+NºAsuntos!E19)/NºAsuntos!G19," - ")</f>
        <v>2.1621570554001965</v>
      </c>
      <c r="AP19" s="887" t="str">
        <f t="shared" si="2"/>
        <v xml:space="preserve"> - </v>
      </c>
      <c r="AQ19" s="888">
        <f>IF(OR(ISNUMBER(FIND("01",Criterios!A8,1)),ISNUMBER(FIND("02",Criterios!A8,1)),ISNUMBER(FIND("03",Criterios!A8,1)),ISNUMBER(FIND("04",Criterios!A8,1))),(I19-W19+K19)/(F19-K19),(H19-W19+K19)/(F19-K19))</f>
        <v>-2.1020344774033233</v>
      </c>
      <c r="AR19" s="889">
        <f>IF(ISNUMBER((Datos!P19-Datos!Q19)/(Datos!R19-Datos!P19+Datos!Q19)),(Datos!P19-Datos!Q19)/(Datos!R19-Datos!P19+Datos!Q19)," - ")</f>
        <v>3.5217472565615575E-2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2657.6</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9.3065090722091455</v>
      </c>
      <c r="F21" s="252">
        <f>IF(ISNUMBER(STDEV(F8:F18)),STDEV(F8:F18),"-")</f>
        <v>3484.3088745593914</v>
      </c>
      <c r="G21" s="253">
        <f>IF(ISNUMBER(STDEV(G8:G18)),STDEV(G8:G18),"-")</f>
        <v>3271.846084399448</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6674.3252842515849</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2022.2806432342668</v>
      </c>
      <c r="AJ21" s="252">
        <f t="shared" si="18"/>
        <v>0</v>
      </c>
      <c r="AK21" s="254">
        <f t="shared" si="18"/>
        <v>0</v>
      </c>
      <c r="AL21" s="249">
        <f t="shared" si="18"/>
        <v>7.7371004410124317E-2</v>
      </c>
      <c r="AM21" s="250">
        <f t="shared" si="18"/>
        <v>2.1442940746497121</v>
      </c>
      <c r="AN21" s="250">
        <f t="shared" si="18"/>
        <v>0.15654867473402143</v>
      </c>
      <c r="AO21" s="251">
        <f t="shared" si="18"/>
        <v>0.72063083097014857</v>
      </c>
      <c r="AP21" s="291" t="str">
        <f t="shared" si="18"/>
        <v>-</v>
      </c>
      <c r="AQ21" s="292">
        <f t="shared" si="18"/>
        <v>0.97434747427867874</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24 sep. 2025</v>
      </c>
      <c r="D30" s="120"/>
    </row>
    <row r="32" spans="1:65">
      <c r="C32" s="1"/>
      <c r="D32" s="1"/>
    </row>
  </sheetData>
  <sheetProtection algorithmName="SHA-512" hashValue="cCUERs9yJQVcdo/2a1JupudKErRuwEHZQYhOhwaJg9x//hWGFTB0RSFb784h2mnrSgnJVoOnpEXVzo9yhds/JA==" saltValue="ayVjNfSU3wkBoEw8Ch2Xw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ARAGON</v>
      </c>
      <c r="E2" s="263"/>
    </row>
    <row r="3" spans="2:20" ht="17.25" customHeight="1">
      <c r="C3" s="267"/>
      <c r="D3" s="262" t="str">
        <f>Criterios!A10 &amp;"  "&amp;Criterios!B10</f>
        <v>Provincias  ZARAGOZA</v>
      </c>
      <c r="E3" s="263"/>
    </row>
    <row r="4" spans="2:20" ht="17.25" customHeight="1" thickBot="1">
      <c r="D4" s="262" t="str">
        <f>Criterios!A11 &amp;"  "&amp;Criterios!B11</f>
        <v>Resumenes por Partidos Judiciales  ZARAGOZA</v>
      </c>
      <c r="E4" s="263"/>
    </row>
    <row r="5" spans="2:20" ht="12.75" customHeight="1">
      <c r="B5" s="272"/>
      <c r="C5" s="1266" t="str">
        <f>"Año:  " &amp;Criterios!B5 &amp; "          Trimestre   " &amp;Criterios!D5 &amp; " al " &amp;Criterios!D6</f>
        <v>Año:  2025          Trimestre   2 al 2</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f>IF(ISNUMBER((Datos!M9-Datos!W9)/Datos!W9),(Datos!M9-Datos!W9)/Datos!W9," - ")</f>
        <v>0.21516508114157806</v>
      </c>
      <c r="I9" s="350">
        <f>IF(ISNUMBER((Tasas!C9-Datos!BE9)/Datos!BE9),(Tasas!C9-Datos!BE9)/Datos!BE9," - ")</f>
        <v>-0.12406047200055342</v>
      </c>
      <c r="J9" s="349">
        <f>IF(ISNUMBER((Tasas!D9-Datos!BF9)/Datos!BF9),(Tasas!D9-Datos!BF9)/Datos!BF9," - ")</f>
        <v>8.1734163584437455E-2</v>
      </c>
      <c r="K9" s="351">
        <f>IF(ISNUMBER((Tasas!E9-Datos!BG9)/Datos!BG9),(Tasas!E9-Datos!BG9)/Datos!BG9," - ")</f>
        <v>-9.0113908938808357E-2</v>
      </c>
      <c r="M9" t="e">
        <f>IF(Monitorios="SI",Datos!CE9,0)</f>
        <v>#REF!</v>
      </c>
      <c r="N9" t="e">
        <f>IF(Monitorios="SI",Datos!CF9,0)</f>
        <v>#REF!</v>
      </c>
      <c r="O9" t="e">
        <f>IF(Monitorios="SI",Datos!CG9,0)</f>
        <v>#REF!</v>
      </c>
      <c r="P9" t="e">
        <f>IF(Monitorios="SI",Datos!CH9,0)</f>
        <v>#REF!</v>
      </c>
      <c r="Q9">
        <f>IF(J_V="SI",0,Datos!AG9)</f>
        <v>441</v>
      </c>
      <c r="R9">
        <f>IF(J_V="SI",0,Datos!AH9)</f>
        <v>465</v>
      </c>
      <c r="S9">
        <f>IF(J_V="SI",0,Datos!AI9)</f>
        <v>552</v>
      </c>
      <c r="T9">
        <f>IF(J_V="SI",0,Datos!AJ9)</f>
        <v>354</v>
      </c>
    </row>
    <row r="10" spans="2:20" ht="14.25">
      <c r="B10" s="275" t="s">
        <v>246</v>
      </c>
      <c r="C10" s="7" t="str">
        <f>Datos!A10</f>
        <v>Jdos. Violencia contra la mujer</v>
      </c>
      <c r="D10" s="352">
        <f>IF(ISNUMBER((Datos!I10-Datos!S10)/Datos!S10),(Datos!I10-Datos!S10)/Datos!S10," - ")</f>
        <v>9.7826086956521743E-2</v>
      </c>
      <c r="E10" s="348">
        <f>IF(ISNUMBER((Datos!J10-Datos!T10)/Datos!T10),(Datos!J10-Datos!T10)/Datos!T10," - ")</f>
        <v>-0.10897435897435898</v>
      </c>
      <c r="F10" s="348">
        <f>IF(ISNUMBER((Datos!K10-Datos!U10)/Datos!U10),(Datos!K10-Datos!U10)/Datos!U10," - ")</f>
        <v>-0.1388888888888889</v>
      </c>
      <c r="G10" s="349">
        <f>IF(ISNUMBER((Datos!L10-Datos!V10)/Datos!V10),(Datos!L10-Datos!V10)/Datos!V10," - ")</f>
        <v>0.16250000000000001</v>
      </c>
      <c r="H10" s="230">
        <f>IF(ISNUMBER((Datos!M10-Datos!W10)/Datos!W10),(Datos!M10-Datos!W10)/Datos!W10," - ")</f>
        <v>-0.38750000000000001</v>
      </c>
      <c r="I10" s="350">
        <f>IF(ISNUMBER((Tasas!C10-Datos!BE10)/Datos!BE10),(Tasas!C10-Datos!BE10)/Datos!BE10," - ")</f>
        <v>0.35000000000000003</v>
      </c>
      <c r="J10" s="349">
        <f>IF(ISNUMBER((Tasas!D10-Datos!BF10)/Datos!BF10),(Tasas!D10-Datos!BF10)/Datos!BF10," - ")</f>
        <v>-0.28870967741935488</v>
      </c>
      <c r="K10" s="351">
        <f>IF(ISNUMBER((Tasas!E10-Datos!BG10)/Datos!BG10),(Tasas!E10-Datos!BG10)/Datos!BG10," - ")</f>
        <v>0.16470588235294131</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f>IF(ISNUMBER((Datos!M11-Datos!W11)/Datos!W11),(Datos!M11-Datos!W11)/Datos!W11," - ")</f>
        <v>-1.8656716417910446E-2</v>
      </c>
      <c r="I11" s="350">
        <f>IF(ISNUMBER((Tasas!C11-Datos!BE11)/Datos!BE11),(Tasas!C11-Datos!BE11)/Datos!BE11," - ")</f>
        <v>-1.0731546937981097E-2</v>
      </c>
      <c r="J11" s="349">
        <f>IF(ISNUMBER((Tasas!D11-Datos!BF11)/Datos!BF11),(Tasas!D11-Datos!BF11)/Datos!BF11," - ")</f>
        <v>0.25918653379372836</v>
      </c>
      <c r="K11" s="351">
        <f>IF(ISNUMBER((Tasas!E11-Datos!BG11)/Datos!BG11),(Tasas!E11-Datos!BG11)/Datos!BG11," - ")</f>
        <v>-6.13708214671887E-3</v>
      </c>
      <c r="M11" t="e">
        <f>IF(Monitorios="SI",Datos!CE11,0)</f>
        <v>#REF!</v>
      </c>
      <c r="N11" t="e">
        <f>IF(Monitorios="SI",Datos!CF11,0)</f>
        <v>#REF!</v>
      </c>
      <c r="O11" t="e">
        <f>IF(Monitorios="SI",Datos!CG11,0)</f>
        <v>#REF!</v>
      </c>
      <c r="P11" t="e">
        <f>IF(Monitorios="SI",Datos!CH11,0)</f>
        <v>#REF!</v>
      </c>
      <c r="Q11">
        <f>IF(J_V="SI",0,Datos!AG11)</f>
        <v>93</v>
      </c>
      <c r="R11">
        <f>IF(J_V="SI",0,Datos!AH11)</f>
        <v>192</v>
      </c>
      <c r="S11">
        <f>IF(J_V="SI",0,Datos!AI11)</f>
        <v>181</v>
      </c>
      <c r="T11">
        <f>IF(J_V="SI",0,Datos!AJ11)</f>
        <v>104</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t="str">
        <f>IF(ISNUMBER((Datos!M12-Datos!W12)/Datos!W12),(Datos!M12-Datos!W12)/Datos!W12," - ")</f>
        <v xml:space="preserve"> - </v>
      </c>
      <c r="I12" s="350" t="str">
        <f>IF(ISNUMBER((Tasas!C12-Datos!BE12)/Datos!BE12),(Tasas!C12-Datos!BE12)/Datos!BE12," - ")</f>
        <v xml:space="preserve"> - </v>
      </c>
      <c r="J12" s="349" t="str">
        <f>IF(ISNUMBER((Tasas!D12-Datos!BF12)/Datos!BF12),(Tasas!D12-Datos!BF12)/Datos!BF12," - ")</f>
        <v xml:space="preserve"> - </v>
      </c>
      <c r="K12" s="351"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0.17374701670644391</v>
      </c>
      <c r="I13" s="357">
        <f>IF(ISNUMBER((Tasas!C13-Datos!BE13)/Datos!BE13),(Tasas!C13-Datos!BE13)/Datos!BE13," - ")</f>
        <v>-0.10853498465638246</v>
      </c>
      <c r="J13" s="355">
        <f>IF(ISNUMBER((Tasas!D13-Datos!BF13)/Datos!BF13),(Tasas!D13-Datos!BF13)/Datos!BF13," - ")</f>
        <v>9.1779132488271978E-2</v>
      </c>
      <c r="K13" s="358">
        <f>IF(ISNUMBER((Tasas!E13-Datos!BG13)/Datos!BG13),(Tasas!E13-Datos!BG13)/Datos!BG13," - ")</f>
        <v>-7.7484933491872465E-2</v>
      </c>
      <c r="M13" t="e">
        <f>IF(Monitorios="SI",Datos!CE13,0)</f>
        <v>#REF!</v>
      </c>
      <c r="N13" t="e">
        <f>IF(Monitorios="SI",Datos!CF13,0)</f>
        <v>#REF!</v>
      </c>
      <c r="O13" t="e">
        <f>IF(Monitorios="SI",Datos!CG13,0)</f>
        <v>#REF!</v>
      </c>
      <c r="P13" t="e">
        <f>IF(Monitorios="SI",Datos!CH13,0)</f>
        <v>#REF!</v>
      </c>
      <c r="Q13">
        <f>IF(J_V="SI",0,Datos!AG13)</f>
        <v>534</v>
      </c>
      <c r="R13">
        <f>IF(J_V="SI",0,Datos!AH13)</f>
        <v>657</v>
      </c>
      <c r="S13">
        <f>IF(J_V="SI",0,Datos!AI13)</f>
        <v>733</v>
      </c>
      <c r="T13">
        <f>IF(J_V="SI",0,Datos!AJ13)</f>
        <v>458</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f>IF(ISNUMBER(
   IF(D_I="SI",(Datos!I15-Datos!S15)/Datos!S15,(Datos!I15+Datos!AC15-(Datos!S15+Datos!AK15))/(Datos!S15+Datos!AK15))
     ),IF(D_I="SI",(Datos!I15-Datos!S15)/Datos!S15,(Datos!I15+Datos!AC15-(Datos!S15+Datos!AK15))/(Datos!S15+Datos!AK15))," - ")</f>
        <v>-6.91471847217649E-3</v>
      </c>
      <c r="E15" s="348">
        <f>IF(ISNUMBER(
   IF(D_I="SI",(Datos!J15-Datos!T15)/Datos!T15,(Datos!J15+Datos!AD15-(Datos!T15+Datos!AL15))/(Datos!T15+Datos!AL15))
     ),IF(D_I="SI",(Datos!J15-Datos!T15)/Datos!T15,(Datos!J15+Datos!AD15-(Datos!T15+Datos!AL15))/(Datos!T15+Datos!AL15))," - ")</f>
        <v>-7.8277573235152872E-2</v>
      </c>
      <c r="F15" s="348">
        <f>IF(ISNUMBER(
   IF(D_I="SI",(Datos!K15-Datos!U15)/Datos!U15,(Datos!K15+Datos!AE15-(Datos!U15+Datos!AM15))/(Datos!U15+Datos!AM15))
     ),IF(D_I="SI",(Datos!K15-Datos!U15)/Datos!U15,(Datos!K15+Datos!AE15-(Datos!U15+Datos!AM15))/(Datos!U15+Datos!AM15))," - ")</f>
        <v>-5.6207195150751788E-2</v>
      </c>
      <c r="G15" s="349">
        <f>IF(ISNUMBER(
   IF(D_I="SI",(Datos!L15-Datos!V15)/Datos!V15,(Datos!L15+Datos!AF15-(Datos!V15+Datos!AN15))/(Datos!V15+Datos!AN15))
     ),IF(D_I="SI",(Datos!L15-Datos!V15)/Datos!V15,(Datos!L15+Datos!AF15-(Datos!V15+Datos!AN15))/(Datos!V15+Datos!AN15))," - ")</f>
        <v>-6.3373415664608385E-2</v>
      </c>
      <c r="H15" s="230">
        <f>IF(ISNUMBER((Datos!M15-Datos!W15)/Datos!W15),(Datos!M15-Datos!W15)/Datos!W15," - ")</f>
        <v>-0.1641337386018237</v>
      </c>
      <c r="I15" s="350">
        <f>IF(ISNUMBER((Tasas!C15-Datos!BE15)/Datos!BE15),(Tasas!C15-Datos!BE15)/Datos!BE15," - ")</f>
        <v>-7.5930018506564041E-3</v>
      </c>
      <c r="J15" s="349">
        <f>IF(ISNUMBER((Tasas!D15-Datos!BF15)/Datos!BF15),(Tasas!D15-Datos!BF15)/Datos!BF15," - ")</f>
        <v>-0.11435406468087125</v>
      </c>
      <c r="K15" s="351">
        <f>IF(ISNUMBER((Tasas!E15-Datos!BG15)/Datos!BG15),(Tasas!E15-Datos!BG15)/Datos!BG15," - ")</f>
        <v>1.349847873260496E-3</v>
      </c>
    </row>
    <row r="16" spans="2:20" ht="14.25">
      <c r="B16" s="275" t="s">
        <v>396</v>
      </c>
      <c r="C16" s="7" t="str">
        <f>Datos!A16</f>
        <v xml:space="preserve">Jdos. 1ª Instª. e Instr.                        </v>
      </c>
      <c r="D16" s="352" t="str">
        <f>IF(ISNUMBER(
   IF(D_I="SI",(Datos!I16-Datos!S16)/Datos!S16,(Datos!I16+Datos!AC16-(Datos!S16+Datos!AK16))/(Datos!S16+Datos!AK16))
     ),IF(D_I="SI",(Datos!I16-Datos!S16)/Datos!S16,(Datos!I16+Datos!AC16-(Datos!S16+Datos!AK16))/(Datos!S16+Datos!AK16))," - ")</f>
        <v xml:space="preserve"> - </v>
      </c>
      <c r="E16" s="348" t="str">
        <f>IF(ISNUMBER(
   IF(D_I="SI",(Datos!J16-Datos!T16)/Datos!T16,(Datos!J16+Datos!AD16-(Datos!T16+Datos!AL16))/(Datos!T16+Datos!AL16))
     ),IF(D_I="SI",(Datos!J16-Datos!T16)/Datos!T16,(Datos!J16+Datos!AD16-(Datos!T16+Datos!AL16))/(Datos!T16+Datos!AL16))," - ")</f>
        <v xml:space="preserve"> - </v>
      </c>
      <c r="F16" s="348" t="str">
        <f>IF(ISNUMBER(
   IF(D_I="SI",(Datos!K16-Datos!U16)/Datos!U16,(Datos!K16+Datos!AE16-(Datos!U16+Datos!AM16))/(Datos!U16+Datos!AM16))
     ),IF(D_I="SI",(Datos!K16-Datos!U16)/Datos!U16,(Datos!K16+Datos!AE16-(Datos!U16+Datos!AM16))/(Datos!U16+Datos!AM16))," - ")</f>
        <v xml:space="preserve"> - </v>
      </c>
      <c r="G16" s="349" t="str">
        <f>IF(ISNUMBER(
   IF(D_I="SI",(Datos!L16-Datos!V16)/Datos!V16,(Datos!L16+Datos!AF16-(Datos!V16+Datos!AN16))/(Datos!V16+Datos!AN16))
     ),IF(D_I="SI",(Datos!L16-Datos!V16)/Datos!V16,(Datos!L16+Datos!AF16-(Datos!V16+Datos!AN16))/(Datos!V16+Datos!AN16))," - ")</f>
        <v xml:space="preserve"> - </v>
      </c>
      <c r="H16" s="230" t="str">
        <f>IF(ISNUMBER((Datos!M16-Datos!W16)/Datos!W16),(Datos!M16-Datos!W16)/Datos!W16," - ")</f>
        <v xml:space="preserve"> - </v>
      </c>
      <c r="I16" s="350" t="str">
        <f>IF(ISNUMBER((Tasas!C16-Datos!BE16)/Datos!BE16),(Tasas!C16-Datos!BE16)/Datos!BE16," - ")</f>
        <v xml:space="preserve"> - </v>
      </c>
      <c r="J16" s="349" t="str">
        <f>IF(ISNUMBER((Tasas!D16-Datos!BF16)/Datos!BF16),(Tasas!D16-Datos!BF16)/Datos!BF16," - ")</f>
        <v xml:space="preserve"> - </v>
      </c>
      <c r="K16" s="351" t="str">
        <f>IF(ISNUMBER((Tasas!E16-Datos!BG16)/Datos!BG16),(Tasas!E16-Datos!BG16)/Datos!BG16," - ")</f>
        <v xml:space="preserve"> - </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-9.2920353982300891E-2</v>
      </c>
      <c r="E17" s="348">
        <f>IF(ISNUMBER(
   IF(D_I="SI",(Datos!J17-Datos!T17)/Datos!T17,(Datos!J17+Datos!AD17-(Datos!T17+Datos!AL17))/(Datos!T17+Datos!AL17))
     ),IF(D_I="SI",(Datos!J17-Datos!T17)/Datos!T17,(Datos!J17+Datos!AD17-(Datos!T17+Datos!AL17))/(Datos!T17+Datos!AL17))," - ")</f>
        <v>-0.21105527638190955</v>
      </c>
      <c r="F17" s="348">
        <f>IF(ISNUMBER(
   IF(D_I="SI",(Datos!K17-Datos!U17)/Datos!U17,(Datos!K17+Datos!AE17-(Datos!U17+Datos!AM17))/(Datos!U17+Datos!AM17))
     ),IF(D_I="SI",(Datos!K17-Datos!U17)/Datos!U17,(Datos!K17+Datos!AE17-(Datos!U17+Datos!AM17))/(Datos!U17+Datos!AM17))," - ")</f>
        <v>-0.15337796713329277</v>
      </c>
      <c r="G17" s="349">
        <f>IF(ISNUMBER(
   IF(D_I="SI",(Datos!L17-Datos!V17)/Datos!V17,(Datos!L17+Datos!AF17-(Datos!V17+Datos!AN17))/(Datos!V17+Datos!AN17))
     ),IF(D_I="SI",(Datos!L17-Datos!V17)/Datos!V17,(Datos!L17+Datos!AF17-(Datos!V17+Datos!AN17))/(Datos!V17+Datos!AN17))," - ")</f>
        <v>-0.24105011933174225</v>
      </c>
      <c r="H17" s="230">
        <f>IF(ISNUMBER((Datos!M17-Datos!W17)/Datos!W17),(Datos!M17-Datos!W17)/Datos!W17," - ")</f>
        <v>-0.14285714285714285</v>
      </c>
      <c r="I17" s="350">
        <f>IF(ISNUMBER((Tasas!C17-Datos!BE17)/Datos!BE17),(Tasas!C17-Datos!BE17)/Datos!BE17," - ")</f>
        <v>-0.1035552451919861</v>
      </c>
      <c r="J17" s="349">
        <f>IF(ISNUMBER((Tasas!D17-Datos!BF17)/Datos!BF17),(Tasas!D17-Datos!BF17)/Datos!BF17," - ")</f>
        <v>1.2426825510937611E-2</v>
      </c>
      <c r="K17" s="351">
        <f>IF(ISNUMBER((Tasas!E17-Datos!BG17)/Datos!BG17),(Tasas!E17-Datos!BG17)/Datos!BG17," - ")</f>
        <v>-3.7269925056380167E-2</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-1.2871590560833588E-2</v>
      </c>
      <c r="E18" s="354">
        <f>IF(ISNUMBER(
   IF(D_I="SI",(Datos!J18-Datos!T18)/Datos!T18,(Datos!J18+Datos!AD18-(Datos!T18+Datos!AL18))/(Datos!T18+Datos!AL18))
     ),IF(D_I="SI",(Datos!J18-Datos!T18)/Datos!T18,(Datos!J18+Datos!AD18-(Datos!T18+Datos!AL18))/(Datos!T18+Datos!AL18))," - ")</f>
        <v>-9.3284111884140278E-2</v>
      </c>
      <c r="F18" s="354">
        <f>IF(ISNUMBER(
   IF(D_I="SI",(Datos!K18-Datos!U18)/Datos!U18,(Datos!K18+Datos!AE18-(Datos!U18+Datos!AM18))/(Datos!U18+Datos!AM18))
     ),IF(D_I="SI",(Datos!K18-Datos!U18)/Datos!U18,(Datos!K18+Datos!AE18-(Datos!U18+Datos!AM18))/(Datos!U18+Datos!AM18))," - ")</f>
        <v>-6.7335842743621921E-2</v>
      </c>
      <c r="G18" s="355">
        <f>IF(ISNUMBER(
   IF(D_I="SI",(Datos!L18-Datos!V18)/Datos!V18,(Datos!L18+Datos!AF18-(Datos!V18+Datos!AN18))/(Datos!V18+Datos!AN18))
     ),IF(D_I="SI",(Datos!L18-Datos!V18)/Datos!V18,(Datos!L18+Datos!AF18-(Datos!V18+Datos!AN18))/(Datos!V18+Datos!AN18))," - ")</f>
        <v>-7.4699528373649779E-2</v>
      </c>
      <c r="H18" s="356">
        <f>IF(ISNUMBER((Datos!M18-Datos!W18)/Datos!W18),(Datos!M18-Datos!W18)/Datos!W18," - ")</f>
        <v>-0.16218081435472739</v>
      </c>
      <c r="I18" s="357">
        <f>IF(ISNUMBER((Tasas!C18-Datos!BE18)/Datos!BE18),(Tasas!C18-Datos!BE18)/Datos!BE18," - ")</f>
        <v>-7.8953239199088428E-3</v>
      </c>
      <c r="J18" s="355">
        <f>IF(ISNUMBER((Tasas!D18-Datos!BF18)/Datos!BF18),(Tasas!D18-Datos!BF18)/Datos!BF18," - ")</f>
        <v>-0.10169252337316283</v>
      </c>
      <c r="K18" s="358">
        <f>IF(ISNUMBER((Tasas!E18-Datos!BG18)/Datos!BG18),(Tasas!E18-Datos!BG18)/Datos!BG18," - ")</f>
        <v>-5.2401013298016149E-4</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-3.1793265465935784E-2</v>
      </c>
      <c r="E19" s="363">
        <f>IF(ISNUMBER(
   IF(J_V="SI",(Datos!J19-Datos!T19)/Datos!T19,(Datos!J19+Datos!Z19-(Datos!T19+Datos!AH19))/(Datos!T19+Datos!AH19))
     ),IF(J_V="SI",(Datos!J19-Datos!T19)/Datos!T19,(Datos!J19+Datos!Z19-(Datos!T19+Datos!AH19))/(Datos!T19+Datos!AH19))," - ")</f>
        <v>-9.738187557904128E-2</v>
      </c>
      <c r="F19" s="363">
        <f>IF(ISNUMBER(
   IF(J_V="SI",(Datos!K19-Datos!U19)/Datos!U19,(Datos!K19+Datos!AA19-(Datos!U19+Datos!AI19))/(Datos!U19+Datos!AI19))
     ),IF(J_V="SI",(Datos!K19-Datos!U19)/Datos!U19,(Datos!K19+Datos!AA19-(Datos!U19+Datos!AI19))/(Datos!U19+Datos!AI19))," - ")</f>
        <v>-2.6917702434360521E-2</v>
      </c>
      <c r="G19" s="364">
        <f>IF(ISNUMBER(
   IF(J_V="SI",(Datos!L19-Datos!V19)/Datos!V19,(Datos!L19+Datos!AB19-(Datos!V19+Datos!AJ19))/(Datos!V19+Datos!AJ19))
     ),IF(J_V="SI",(Datos!L19-Datos!V19)/Datos!V19,(Datos!L19+Datos!AB19-(Datos!V19+Datos!AJ19))/(Datos!V19+Datos!AJ19))," - ")</f>
        <v>-8.8914245589396992E-2</v>
      </c>
      <c r="H19" s="365">
        <f>IF(ISNUMBER((Datos!M19-Datos!W19)/Datos!W19),(Datos!M19-Datos!W19)/Datos!W19," - ")</f>
        <v>8.742684873204469E-2</v>
      </c>
      <c r="I19" s="362">
        <f>IF(ISNUMBER((Tasas!C19-Datos!BE19)/Datos!BE19),(Tasas!C19-Datos!BE19)/Datos!BE19," - ")</f>
        <v>-6.371151064008998E-2</v>
      </c>
      <c r="J19" s="363">
        <f>IF(ISNUMBER((Tasas!D19-Datos!BF19)/Datos!BF19),(Tasas!D19-Datos!BF19)/Datos!BF19," - ")</f>
        <v>7.2982338494428742E-2</v>
      </c>
      <c r="K19" s="364">
        <f>IF(ISNUMBER((Tasas!E19-Datos!BG19)/Datos!BG19),(Tasas!E19-Datos!BG19)/Datos!BG19," - ")</f>
        <v>-3.7176606986425921E-2</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7.8235262217186741E-2</v>
      </c>
      <c r="E21" s="278">
        <f t="shared" si="1"/>
        <v>6.0093088932609666E-2</v>
      </c>
      <c r="F21" s="278">
        <f t="shared" si="1"/>
        <v>4.9274137211170542E-2</v>
      </c>
      <c r="G21" s="279">
        <f t="shared" si="1"/>
        <v>0.16570680079198249</v>
      </c>
      <c r="H21" s="285">
        <f t="shared" si="1"/>
        <v>0.21088658337371896</v>
      </c>
      <c r="I21" s="277">
        <f t="shared" si="1"/>
        <v>0.16360920244232383</v>
      </c>
      <c r="J21" s="278">
        <f t="shared" si="1"/>
        <v>0.17734124893013598</v>
      </c>
      <c r="K21" s="279">
        <f t="shared" si="1"/>
        <v>8.4049442960059811E-2</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24 sep.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tgguOtCR7WaxKjjzo1F8ImORzdJymrmJFansTzG2VMGjJwK4mh46xdg3MmWBXUJXy2LR4mYFjBadGo1IH1SwBw==" saltValue="hZcMvvJ/pPHlDJ4WmoQa9w=="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2025-09-24T18:36:02Z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